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DW\Archiv\Internetseite\"/>
    </mc:Choice>
  </mc:AlternateContent>
  <bookViews>
    <workbookView xWindow="240" yWindow="855" windowWidth="15600" windowHeight="669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D32" i="18"/>
  <c r="H31" i="18" s="1"/>
  <c r="E63" i="18"/>
  <c r="G63" i="18"/>
  <c r="J6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N21" i="18"/>
  <c r="I21" i="18"/>
  <c r="L21" i="18"/>
  <c r="L31" i="18"/>
  <c r="G31" i="18"/>
  <c r="M31" i="18"/>
  <c r="I31" i="18"/>
  <c r="H53" i="18"/>
  <c r="H63" i="18"/>
  <c r="D24" i="15"/>
  <c r="C23" i="15"/>
  <c r="G21" i="18" l="1"/>
  <c r="M21" i="18"/>
  <c r="N31" i="18"/>
  <c r="K21" i="18"/>
  <c r="J21" i="18"/>
  <c r="D56" i="18"/>
  <c r="J55" i="18" s="1"/>
  <c r="F31" i="18"/>
  <c r="K31" i="18"/>
  <c r="E31" i="18" s="1"/>
  <c r="J31" i="18"/>
  <c r="H21" i="18"/>
  <c r="E21" i="18" s="1"/>
  <c r="D66" i="18"/>
  <c r="K65" i="18" s="1"/>
  <c r="K55" i="18"/>
  <c r="F55" i="18"/>
  <c r="H55" i="18"/>
  <c r="M55" i="18"/>
  <c r="I55" i="18"/>
  <c r="F69" i="17"/>
  <c r="G69" i="17"/>
  <c r="H69" i="17"/>
  <c r="I69" i="17"/>
  <c r="J69" i="17"/>
  <c r="K69" i="17"/>
  <c r="L69" i="17"/>
  <c r="M69" i="17"/>
  <c r="N69" i="17"/>
  <c r="E69" i="17"/>
  <c r="N55" i="18" l="1"/>
  <c r="G55" i="18"/>
  <c r="M65" i="18"/>
  <c r="L55" i="18"/>
  <c r="E55" i="18" s="1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E65" i="18" l="1"/>
  <c r="X12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1" i="7" s="1"/>
  <c r="H21" i="4"/>
  <c r="V21" i="7" s="1"/>
  <c r="G21" i="4"/>
  <c r="U21" i="7" s="1"/>
  <c r="F21" i="4"/>
  <c r="T21" i="7" s="1"/>
  <c r="E21" i="4"/>
  <c r="S21" i="7" s="1"/>
  <c r="D21" i="4"/>
  <c r="R21" i="7" s="1"/>
  <c r="X21" i="7" s="1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L26" i="7" l="1"/>
  <c r="O26" i="7"/>
  <c r="O25" i="7"/>
  <c r="K26" i="7"/>
  <c r="K25" i="7"/>
  <c r="F24" i="7"/>
  <c r="F12" i="7"/>
  <c r="N25" i="7"/>
  <c r="J25" i="7"/>
  <c r="L25" i="7"/>
  <c r="P26" i="7"/>
  <c r="P25" i="7"/>
  <c r="H26" i="7"/>
  <c r="H25" i="7"/>
  <c r="F20" i="7"/>
  <c r="F14" i="7"/>
  <c r="J26" i="7"/>
  <c r="F19" i="7"/>
  <c r="M26" i="7"/>
  <c r="M25" i="7"/>
  <c r="I26" i="7"/>
  <c r="I25" i="7"/>
  <c r="F26" i="7"/>
  <c r="F21" i="7"/>
  <c r="F13" i="7"/>
  <c r="N26" i="7"/>
  <c r="F25" i="7"/>
  <c r="K13" i="7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L12" i="7"/>
  <c r="H12" i="7"/>
  <c r="I11" i="7"/>
  <c r="F23" i="7"/>
  <c r="F17" i="7"/>
  <c r="F15" i="7"/>
  <c r="F22" i="7"/>
  <c r="F18" i="7"/>
  <c r="F16" i="7"/>
  <c r="F11" i="7"/>
  <c r="M8" i="4"/>
  <c r="M7" i="4"/>
  <c r="D6" i="15"/>
  <c r="D6" i="7"/>
  <c r="Q25" i="7" l="1"/>
  <c r="Q26" i="7"/>
  <c r="Q18" i="7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<sst xmlns="http://schemas.openxmlformats.org/spreadsheetml/2006/main" count="1379" uniqueCount="680">
  <si>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</si>
  <si>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</si>
  <si>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</si>
  <si>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</si>
  <si>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</si>
  <si>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</si>
  <si>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</si>
  <si>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</si>
  <si>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</si>
  <si>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</si>
  <si>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</si>
  <si>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</si>
  <si>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</si>
  <si>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</si>
  <si>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</si>
  <si>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</si>
  <si>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</si>
  <si>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</si>
  <si>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</si>
  <si>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</si>
  <si>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</si>
  <si>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</si>
  <si>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</si>
  <si>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</si>
  <si>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</si>
  <si>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</si>
  <si>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</si>
  <si>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</si>
  <si>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</si>
  <si>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</si>
  <si>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</si>
  <si>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</si>
  <si>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</si>
  <si>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</si>
  <si>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</si>
  <si>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</si>
  <si>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</si>
  <si>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</si>
  <si>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</si>
  <si>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</si>
  <si>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</si>
  <si>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</si>
  <si>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</si>
  <si>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</si>
  <si>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</si>
  <si>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</si>
  <si>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</si>
  <si>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</si>
  <si>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</si>
  <si>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</si>
  <si>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</si>
  <si>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</si>
  <si>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</si>
  <si>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</si>
  <si>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</si>
  <si>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</si>
  <si>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</si>
  <si>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</si>
  <si>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</si>
  <si>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</si>
  <si>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</si>
  <si>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</si>
  <si>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</si>
  <si>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</si>
  <si>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</si>
  <si>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</si>
  <si>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</si>
  <si>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</si>
  <si>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</si>
  <si>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</si>
  <si>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</si>
  <si>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</si>
  <si>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</si>
  <si>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</si>
  <si>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</si>
  <si>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</si>
  <si>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</si>
  <si>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</si>
  <si>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</si>
  <si>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</si>
  <si>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</si>
  <si>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</si>
  <si>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</si>
  <si>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</si>
  <si>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</si>
  <si>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</si>
  <si>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</si>
  <si>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</si>
  <si>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</si>
  <si>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</si>
  <si>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</si>
  <si>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</si>
  <si>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</si>
  <si>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</si>
  <si>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</si>
  <si>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</si>
  <si>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</si>
  <si>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</si>
  <si>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</si>
  <si>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</si>
  <si>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</si>
  <si>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</si>
  <si>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</si>
  <si>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</si>
  <si>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</si>
  <si>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</si>
  <si>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</si>
  <si>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</si>
  <si>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</si>
  <si>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</si>
  <si>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</si>
  <si>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</si>
  <si>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</si>
  <si>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</si>
  <si>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</si>
  <si>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</si>
  <si>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</si>
  <si>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</si>
  <si>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</si>
  <si>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</si>
  <si>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</si>
  <si>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</si>
  <si>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</si>
  <si>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</si>
  <si>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</si>
  <si>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</si>
  <si>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</si>
  <si>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</si>
  <si>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</si>
  <si>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</si>
  <si>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</si>
  <si>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</si>
  <si>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</si>
  <si>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</si>
  <si>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</si>
  <si>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</si>
  <si>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</si>
  <si>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</si>
  <si>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</si>
  <si>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</si>
  <si>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</si>
  <si>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</si>
  <si>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</si>
  <si>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</si>
  <si>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</si>
  <si>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</si>
  <si>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</si>
  <si>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</si>
  <si>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</si>
  <si>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</si>
  <si>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</si>
  <si>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</si>
  <si>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</si>
  <si>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</si>
  <si>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</si>
  <si>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</si>
  <si>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</si>
  <si>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</si>
  <si>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</si>
  <si>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</si>
  <si>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</si>
  <si>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</si>
  <si>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</si>
  <si>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</si>
  <si>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</si>
  <si>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</si>
  <si>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</si>
  <si>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</si>
  <si>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</si>
  <si>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</si>
  <si>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</si>
  <si>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</si>
  <si>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</si>
  <si>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</si>
  <si>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</si>
  <si>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</si>
  <si>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</si>
  <si>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</si>
  <si>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</si>
  <si>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</si>
  <si>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</si>
  <si>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</si>
  <si>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</si>
  <si>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</si>
  <si>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</si>
  <si>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</si>
  <si>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</si>
  <si>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</si>
  <si>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</si>
  <si>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</si>
  <si>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</si>
  <si>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</si>
  <si>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</si>
  <si>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</si>
  <si>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</si>
  <si>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</si>
  <si>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</si>
  <si>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</si>
  <si>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</si>
  <si>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</si>
  <si>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</si>
  <si>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</si>
  <si>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</si>
  <si>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</si>
  <si>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</si>
  <si>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</si>
  <si>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</si>
  <si>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</si>
  <si>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</si>
  <si>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</si>
  <si>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</si>
  <si>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</si>
  <si>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</si>
  <si>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</si>
  <si>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</si>
  <si>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</si>
  <si>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</si>
  <si>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</si>
  <si>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</si>
  <si>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</si>
  <si>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</si>
  <si>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</si>
  <si>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</si>
  <si>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</si>
  <si>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</si>
  <si>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</si>
  <si>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</si>
  <si>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</si>
  <si>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</si>
  <si>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</si>
  <si>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</si>
  <si>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</si>
  <si>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</si>
  <si>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</si>
  <si>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</si>
  <si>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</si>
  <si>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</si>
  <si>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</si>
  <si>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</si>
  <si>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</si>
  <si>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</si>
  <si>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</si>
  <si>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</si>
  <si>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</si>
  <si>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</si>
  <si>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</si>
  <si>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</si>
  <si>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</si>
  <si>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</si>
  <si>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</si>
  <si>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</si>
  <si>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</si>
  <si>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</si>
  <si>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</si>
  <si>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</si>
  <si>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</si>
  <si>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</si>
  <si>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</si>
  <si>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</si>
  <si>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</si>
  <si>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</si>
  <si>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</si>
  <si>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</si>
  <si>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</si>
  <si>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</si>
  <si>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</si>
  <si>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</si>
  <si>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</si>
  <si>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</si>
  <si>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</si>
  <si>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</si>
  <si>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</si>
  <si>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</si>
  <si>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</si>
  <si>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</si>
  <si>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</si>
  <si>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</si>
  <si>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</si>
  <si>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</si>
  <si>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</si>
  <si>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</si>
  <si>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</si>
  <si>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</si>
  <si>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</si>
  <si>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</si>
  <si>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</si>
  <si>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</si>
  <si>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</si>
  <si>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</si>
  <si>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</si>
  <si>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</si>
  <si>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</si>
  <si>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</si>
  <si>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</si>
  <si>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</si>
  <si>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</si>
  <si>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</si>
  <si>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</si>
  <si>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</si>
  <si>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</si>
  <si>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</si>
  <si>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</si>
  <si>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</si>
  <si>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</si>
  <si>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</si>
  <si>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</si>
  <si>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</si>
  <si>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</si>
  <si>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</si>
  <si>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</si>
  <si>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</si>
  <si>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</si>
  <si>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</si>
  <si>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</si>
  <si>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</si>
  <si>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</si>
  <si>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</si>
  <si>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</si>
  <si>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</si>
  <si>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</si>
  <si>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</si>
  <si>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</si>
  <si>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</si>
  <si>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</si>
  <si>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</si>
  <si>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</si>
  <si>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</si>
  <si>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</si>
  <si>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</si>
  <si>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</si>
  <si>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</si>
  <si>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</si>
  <si>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</si>
  <si>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</si>
  <si>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</si>
  <si>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</si>
  <si>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</si>
  <si>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</si>
  <si>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</si>
  <si>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</si>
  <si>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</si>
  <si>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</si>
  <si>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</si>
  <si>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</si>
  <si>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</si>
  <si>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</si>
  <si>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</si>
  <si>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</si>
  <si>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</si>
  <si>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</si>
  <si>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</si>
  <si>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</si>
  <si>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</si>
  <si>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</si>
  <si>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</si>
  <si>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</si>
  <si>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</si>
  <si>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</si>
  <si>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</si>
  <si>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</si>
  <si>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</si>
  <si>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</si>
  <si>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</si>
  <si>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</si>
  <si>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</si>
  <si>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</si>
  <si>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</si>
  <si>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</si>
  <si>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</si>
  <si>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</si>
  <si>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</si>
  <si>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</si>
  <si>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</si>
  <si>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</si>
  <si>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</si>
  <si>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</si>
  <si>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</si>
  <si>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</si>
  <si>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</si>
  <si>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</si>
  <si>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</si>
  <si>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</si>
  <si>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</si>
  <si>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</si>
  <si>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</si>
  <si>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</si>
  <si>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</si>
  <si>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</si>
  <si>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</si>
  <si>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</si>
  <si>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</si>
  <si>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</si>
  <si>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</si>
  <si>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</si>
  <si>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</si>
  <si>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</si>
  <si>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</si>
  <si>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</si>
  <si>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</si>
  <si>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</si>
  <si>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</si>
  <si>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</si>
  <si>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</si>
  <si>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</si>
  <si>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</si>
  <si>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</si>
  <si>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</si>
  <si>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</si>
  <si>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</si>
  <si>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</si>
  <si>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</si>
  <si>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</si>
  <si>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</si>
  <si>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</si>
  <si>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</si>
  <si>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</si>
  <si>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</si>
  <si>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</si>
  <si>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</si>
  <si>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</si>
  <si>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</si>
  <si>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</si>
  <si>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</si>
  <si>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</si>
  <si>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</si>
  <si>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</si>
  <si>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</si>
  <si>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</si>
  <si>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</si>
  <si>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</si>
  <si>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</si>
  <si>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</si>
  <si>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</si>
  <si>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</si>
  <si>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</si>
  <si>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</si>
  <si>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</si>
  <si>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</si>
  <si>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</si>
  <si>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</si>
  <si>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</si>
  <si>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</si>
  <si>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</si>
  <si>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</si>
  <si>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</si>
  <si>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</si>
  <si>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</si>
  <si>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</si>
  <si>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</si>
  <si>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</si>
  <si>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</si>
  <si>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</si>
  <si>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</si>
  <si>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</si>
  <si>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</si>
  <si>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</si>
  <si>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</si>
  <si>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</si>
  <si>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</si>
  <si>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</si>
  <si>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</si>
  <si>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</si>
  <si>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</si>
  <si>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</si>
  <si>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</si>
  <si>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</si>
  <si>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</si>
  <si>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</si>
  <si>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</si>
  <si>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</si>
  <si>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</si>
  <si>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</si>
  <si>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</si>
  <si>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</si>
  <si>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</si>
  <si>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</si>
  <si>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</si>
  <si>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</si>
  <si>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</si>
  <si>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</si>
  <si>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</si>
  <si>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</si>
  <si>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</si>
  <si>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</si>
  <si>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</si>
  <si>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</si>
  <si>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</si>
  <si>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</si>
  <si>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</si>
  <si>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</si>
  <si>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</si>
  <si>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</si>
  <si>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</si>
  <si>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</si>
  <si>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</si>
  <si>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</si>
  <si>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</si>
  <si>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</si>
  <si>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</si>
  <si>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</si>
  <si>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</si>
  <si>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</si>
  <si>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</si>
  <si>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</si>
  <si>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</si>
  <si>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</si>
  <si>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</si>
  <si>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</si>
  <si>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</si>
  <si>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</si>
  <si>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</si>
  <si>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</si>
  <si>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</si>
  <si>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</si>
  <si>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</si>
  <si>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</si>
  <si>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</si>
  <si>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</si>
  <si>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</si>
  <si>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</si>
  <si>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</si>
  <si>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</si>
  <si>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</si>
  <si>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</si>
  <si>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</si>
  <si>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</si>
  <si>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</si>
  <si>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</si>
  <si>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</si>
  <si>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</si>
  <si>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</si>
  <si>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</si>
  <si>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</si>
  <si>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</si>
  <si>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</si>
  <si>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</si>
  <si>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</si>
  <si>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</si>
  <si>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</si>
  <si>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</si>
  <si>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</si>
  <si>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</si>
  <si>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</si>
  <si>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</si>
  <si>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</si>
  <si>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</si>
  <si>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</si>
  <si>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</si>
  <si>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</si>
  <si>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</si>
  <si>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</si>
  <si>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</si>
  <si>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</si>
  <si>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</si>
  <si>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</si>
  <si>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</si>
  <si>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</si>
  <si>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</si>
  <si>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</si>
  <si>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</si>
  <si>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</si>
  <si>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</si>
  <si>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</si>
  <si>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</si>
  <si>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</si>
  <si>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</si>
  <si>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</si>
  <si>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</si>
  <si>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</si>
  <si>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</si>
  <si>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</si>
  <si>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</si>
  <si>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</si>
  <si>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</si>
  <si>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</si>
  <si>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</si>
  <si>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</si>
  <si>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</si>
  <si>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</si>
  <si>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</si>
  <si>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</si>
  <si>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</si>
  <si>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</si>
  <si>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</si>
  <si>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</si>
  <si>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</si>
  <si>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</si>
  <si>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</si>
  <si>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</si>
  <si>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</si>
  <si>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</si>
  <si>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</si>
  <si>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</si>
  <si>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</si>
  <si>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</si>
  <si>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</si>
  <si>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</si>
  <si>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</si>
  <si>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</si>
  <si>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</si>
  <si>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</si>
  <si>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</si>
  <si>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</si>
  <si>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</si>
  <si>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</si>
  <si>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</si>
  <si>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</si>
  <si>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</si>
  <si>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</si>
  <si>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</si>
  <si>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</si>
  <si>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</si>
  <si>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</si>
  <si>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</si>
  <si>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</si>
  <si>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</si>
  <si>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</si>
  <si>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</si>
  <si>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</si>
  <si>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</si>
  <si>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</si>
  <si>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</si>
  <si>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</si>
  <si>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</si>
  <si>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</si>
  <si>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</si>
  <si>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</si>
  <si>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</si>
  <si>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</si>
  <si>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</si>
  <si>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</si>
  <si>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</si>
  <si>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</si>
  <si>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</si>
  <si>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</si>
  <si>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</si>
  <si>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</si>
  <si>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</si>
  <si>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</si>
  <si>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</si>
  <si>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</si>
  <si>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</si>
  <si>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</si>
  <si>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</si>
  <si>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</si>
  <si>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</si>
  <si>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</si>
  <si>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</si>
  <si>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</si>
  <si>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</si>
  <si>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</si>
  <si>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</si>
  <si>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</si>
  <si>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</si>
  <si>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</si>
  <si>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</si>
  <si>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</si>
  <si>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Burgdorf Netz GmbH</t>
  </si>
  <si>
    <t>98701054000004</t>
  </si>
  <si>
    <t>Vor dem Hannoverschen Tor 12</t>
  </si>
  <si>
    <t>Burgdorf</t>
  </si>
  <si>
    <t>Team Netznutzungsmanagement</t>
  </si>
  <si>
    <t>sw.burgdorf@edi-gas.de</t>
  </si>
  <si>
    <t>0361/564-2320</t>
  </si>
  <si>
    <t>DE_GBA04</t>
  </si>
  <si>
    <t>DE_GBD04</t>
  </si>
  <si>
    <t>DE_GBH04</t>
  </si>
  <si>
    <t>DE_GGA04</t>
  </si>
  <si>
    <t>DE_GGB04</t>
  </si>
  <si>
    <t>DE_GHA04</t>
  </si>
  <si>
    <t>DE_GHD04</t>
  </si>
  <si>
    <t>DE_GKO04</t>
  </si>
  <si>
    <t>DE_GMF04</t>
  </si>
  <si>
    <t>DE_GMK04</t>
  </si>
  <si>
    <t>DE_GPD04</t>
  </si>
  <si>
    <t>DE_GWA04</t>
  </si>
  <si>
    <t xml:space="preserve"> NI  </t>
  </si>
  <si>
    <t>Netz Burgdorf L-Gas</t>
  </si>
  <si>
    <t>Netz Burgdorf H-Gas</t>
  </si>
  <si>
    <t>GASPOOLNH7010541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</si>
</sst>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49" fontId="0" fillId="33" borderId="17" xfId="0" applyNumberFormat="1" applyFill="1" applyBorder="1" applyAlignment="1" applyProtection="1">
      <alignment horizont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339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8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42675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42675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40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31303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398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Netz Burgdorf H-Gas</v>
      </c>
      <c r="E28" s="38"/>
      <c r="F28" s="11"/>
      <c r="G28" s="2"/>
    </row>
    <row r="29" spans="1:15">
      <c r="B29" s="15"/>
      <c r="C29" s="22" t="s">
        <v>397</v>
      </c>
      <c r="D29" s="45" t="s">
        <v>677</v>
      </c>
      <c r="E29" s="40"/>
      <c r="F29" s="11"/>
      <c r="G29" s="2"/>
    </row>
    <row r="30" spans="1:15">
      <c r="B30" s="15"/>
      <c r="C30" s="22" t="s">
        <v>398</v>
      </c>
      <c r="D30" s="45" t="s">
        <v>678</v>
      </c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7" priority="2">
      <formula>IF(CELL("Zeile",D29)&lt;$D$25+CELL("Zeile",$D$29),1,0)</formula>
    </cfRule>
  </conditionalFormatting>
  <conditionalFormatting sqref="D30:D48">
    <cfRule type="expression" dxfId="56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2" zoomScale="80" zoomScaleNormal="80" workbookViewId="0">
      <selection activeCell="D18" sqref="D1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Burgdorf Netz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Netz Burgdorf H-Gas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9" t="str">
        <f>Netzbetreiber!$D$11</f>
        <v>98701054000004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42675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72" t="s">
        <v>618</v>
      </c>
      <c r="I13" s="272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679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370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577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8" t="s">
        <v>611</v>
      </c>
      <c r="I22" s="268" t="s">
        <v>612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8" t="s">
        <v>614</v>
      </c>
      <c r="I23" s="8" t="s">
        <v>610</v>
      </c>
      <c r="J23" s="8"/>
      <c r="K23" s="8"/>
      <c r="L23" s="269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8" t="s">
        <v>613</v>
      </c>
      <c r="I24" s="268" t="s">
        <v>620</v>
      </c>
      <c r="J24" s="8"/>
      <c r="K24" s="8"/>
      <c r="L24" s="271" t="s">
        <v>621</v>
      </c>
      <c r="M24" s="271" t="s">
        <v>623</v>
      </c>
      <c r="N24" s="271" t="s">
        <v>622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372</v>
      </c>
      <c r="C26" s="6" t="s">
        <v>580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624</v>
      </c>
      <c r="D27" s="42" t="s">
        <v>625</v>
      </c>
      <c r="E27" s="15"/>
      <c r="H27" s="298" t="s">
        <v>625</v>
      </c>
      <c r="I27" s="270" t="s">
        <v>626</v>
      </c>
      <c r="J27" s="270" t="s">
        <v>627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628</v>
      </c>
      <c r="I28" s="271" t="s">
        <v>629</v>
      </c>
      <c r="J28" s="271" t="s">
        <v>630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631</v>
      </c>
      <c r="I29" s="271" t="s">
        <v>632</v>
      </c>
      <c r="J29" s="271" t="s">
        <v>633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634</v>
      </c>
      <c r="I32" s="271" t="s">
        <v>635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636</v>
      </c>
      <c r="I33" s="268" t="s">
        <v>631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551</v>
      </c>
      <c r="C35" s="24" t="s">
        <v>498</v>
      </c>
      <c r="D35" s="42">
        <v>15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552</v>
      </c>
      <c r="C37" s="5" t="s">
        <v>367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368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139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sheetProtection sheet="1" objects="1" scenarios="1"/>
  <conditionalFormatting sqref="D15">
    <cfRule type="expression" dxfId="55" priority="21">
      <formula>IF($D$11="Gaspool",1,0)</formula>
    </cfRule>
  </conditionalFormatting>
  <conditionalFormatting sqref="D16">
    <cfRule type="expression" dxfId="54" priority="18">
      <formula>IF($D$11="NCG",1,0)</formula>
    </cfRule>
  </conditionalFormatting>
  <conditionalFormatting sqref="D48:D62">
    <cfRule type="expression" dxfId="53" priority="17">
      <formula>IF(CELL("Zeile",D48)&lt;$D$46+CELL("Zeile",$D$48),1,0)</formula>
    </cfRule>
  </conditionalFormatting>
  <conditionalFormatting sqref="D49:D62">
    <cfRule type="expression" dxfId="52" priority="16">
      <formula>IF(CELL(D49)&lt;$D$36+27,1,0)</formula>
    </cfRule>
  </conditionalFormatting>
  <conditionalFormatting sqref="D23">
    <cfRule type="expression" dxfId="51" priority="15">
      <formula>IF($D$22=$H$22,1,0)</formula>
    </cfRule>
  </conditionalFormatting>
  <conditionalFormatting sqref="D31">
    <cfRule type="expression" dxfId="50" priority="4">
      <formula>IF($D$18="synthetisch",1,0)</formula>
    </cfRule>
  </conditionalFormatting>
  <conditionalFormatting sqref="D28">
    <cfRule type="expression" dxfId="49" priority="2">
      <formula>IF(AND($D$27=$I$27,$D$26=$H$26),1,0)</formula>
    </cfRule>
  </conditionalFormatting>
  <conditionalFormatting sqref="D26:D28">
    <cfRule type="expression" dxfId="48" priority="5">
      <formula>IF($D$18="analytisch",1,0)</formula>
    </cfRule>
  </conditionalFormatting>
  <conditionalFormatting sqref="D27">
    <cfRule type="expression" dxfId="47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43" zoomScaleNormal="100" workbookViewId="0">
      <selection activeCell="G72" sqref="G72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Stadtwerke Burgdorf Netz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Netz Burgdorf H-Gas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98701054000004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42675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3" t="str">
        <f>INDEX('SLP-Verfahren'!D48:D62,'SLP-Temp-Gebiet #01'!F10)</f>
        <v>DWD</v>
      </c>
      <c r="G11" s="333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586</v>
      </c>
      <c r="D13" s="343"/>
      <c r="E13" s="343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32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44" t="s">
        <v>389</v>
      </c>
      <c r="D15" s="344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139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372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DWD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ABC-St.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 t="str">
        <f>E25</f>
        <v>xxxxx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529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5" t="s">
        <v>582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5" priority="28">
      <formula>IF(E$20&lt;=$F$18,1,0)</formula>
    </cfRule>
  </conditionalFormatting>
  <conditionalFormatting sqref="E32:N36">
    <cfRule type="expression" dxfId="44" priority="27">
      <formula>IF(E$30&lt;=$F$28,1,0)</formula>
    </cfRule>
  </conditionalFormatting>
  <conditionalFormatting sqref="E26:F26">
    <cfRule type="expression" dxfId="43" priority="26">
      <formula>IF(E$20&lt;=$F$18,1,0)</formula>
    </cfRule>
  </conditionalFormatting>
  <conditionalFormatting sqref="E26:N26">
    <cfRule type="expression" dxfId="42" priority="25">
      <formula>IF(E$20&lt;=$F$18,1,0)</formula>
    </cfRule>
  </conditionalFormatting>
  <conditionalFormatting sqref="E56:N59">
    <cfRule type="expression" dxfId="41" priority="22">
      <formula>IF(E$54&lt;=$F$52,1,0)</formula>
    </cfRule>
  </conditionalFormatting>
  <conditionalFormatting sqref="E60:N60">
    <cfRule type="expression" dxfId="40" priority="21">
      <formula>IF(E$54&lt;=$F$52,1,0)</formula>
    </cfRule>
  </conditionalFormatting>
  <conditionalFormatting sqref="E66:N68">
    <cfRule type="expression" dxfId="39" priority="15">
      <formula>IF(E$64&lt;=$F$62,1,0)</formula>
    </cfRule>
  </conditionalFormatting>
  <conditionalFormatting sqref="E65:N68 E70:N70">
    <cfRule type="expression" dxfId="38" priority="13">
      <formula>IF(E$64&gt;$F$62,1,0)</formula>
    </cfRule>
  </conditionalFormatting>
  <conditionalFormatting sqref="E56:N60">
    <cfRule type="expression" dxfId="37" priority="12">
      <formula>IF(E$54&gt;$F$52,1,0)</formula>
    </cfRule>
  </conditionalFormatting>
  <conditionalFormatting sqref="E21:N26">
    <cfRule type="expression" dxfId="36" priority="11">
      <formula>IF(E$20&gt;$F$18,1,0)</formula>
    </cfRule>
  </conditionalFormatting>
  <conditionalFormatting sqref="E32:N36">
    <cfRule type="expression" dxfId="35" priority="10">
      <formula>IF(E$30&gt;$F$28,1,0)</formula>
    </cfRule>
  </conditionalFormatting>
  <conditionalFormatting sqref="H11 H8:H9">
    <cfRule type="expression" dxfId="34" priority="9">
      <formula>IF($F$9=1,1,0)</formula>
    </cfRule>
  </conditionalFormatting>
  <conditionalFormatting sqref="E55:N55">
    <cfRule type="expression" dxfId="33" priority="8">
      <formula>IF(E$54&gt;$F$52,1,0)</formula>
    </cfRule>
  </conditionalFormatting>
  <conditionalFormatting sqref="E31:N31">
    <cfRule type="expression" dxfId="32" priority="7">
      <formula>IF(E$30&gt;$F$28,1,0)</formula>
    </cfRule>
  </conditionalFormatting>
  <conditionalFormatting sqref="E70:N70">
    <cfRule type="expression" dxfId="31" priority="6">
      <formula>IF(E$64&lt;=$F$62,1,0)</formula>
    </cfRule>
  </conditionalFormatting>
  <conditionalFormatting sqref="H10">
    <cfRule type="expression" dxfId="30" priority="5">
      <formula>IF($F$9=1,1,0)</formula>
    </cfRule>
  </conditionalFormatting>
  <conditionalFormatting sqref="E69:N69">
    <cfRule type="expression" dxfId="29" priority="2">
      <formula>IF(E$64&lt;=$F$62,1,0)</formula>
    </cfRule>
  </conditionalFormatting>
  <conditionalFormatting sqref="E69:N69">
    <cfRule type="expression" dxfId="28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5:N26 E56:N60 E22:F22 I22:N22 F52 F62 G24:N24 G70:N70 E32:N34 E69:N6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Netzbetreiber!$D$9</f>
        <v>Stadtwerke Burgdorf Netz GmbH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Netz Burgdorf H-Gas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Netzbetreiber!$D$11</f>
        <v>98701054000004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42675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2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3">
        <f>INDEX('SLP-Verfahren'!D48:D62,'SLP-Temp-Gebiet #02'!F10)</f>
        <v>0</v>
      </c>
      <c r="G11" s="333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586</v>
      </c>
      <c r="D13" s="343"/>
      <c r="E13" s="343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32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44" t="s">
        <v>389</v>
      </c>
      <c r="D15" s="344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372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518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518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529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5" t="s">
        <v>582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7" priority="18">
      <formula>IF(E$20&lt;=$F$18,1,0)</formula>
    </cfRule>
  </conditionalFormatting>
  <conditionalFormatting sqref="E32:N36">
    <cfRule type="expression" dxfId="26" priority="17">
      <formula>IF(E$30&lt;=$F$28,1,0)</formula>
    </cfRule>
  </conditionalFormatting>
  <conditionalFormatting sqref="E26:F26">
    <cfRule type="expression" dxfId="25" priority="16">
      <formula>IF(E$20&lt;=$F$18,1,0)</formula>
    </cfRule>
  </conditionalFormatting>
  <conditionalFormatting sqref="E26:N26">
    <cfRule type="expression" dxfId="24" priority="15">
      <formula>IF(E$20&lt;=$F$18,1,0)</formula>
    </cfRule>
  </conditionalFormatting>
  <conditionalFormatting sqref="E56:N59">
    <cfRule type="expression" dxfId="23" priority="14">
      <formula>IF(E$54&lt;=$F$52,1,0)</formula>
    </cfRule>
  </conditionalFormatting>
  <conditionalFormatting sqref="E60:N60">
    <cfRule type="expression" dxfId="22" priority="13">
      <formula>IF(E$54&lt;=$F$52,1,0)</formula>
    </cfRule>
  </conditionalFormatting>
  <conditionalFormatting sqref="E66:N68">
    <cfRule type="expression" dxfId="21" priority="12">
      <formula>IF(E$64&lt;=$F$62,1,0)</formula>
    </cfRule>
  </conditionalFormatting>
  <conditionalFormatting sqref="E65:N68 E70:N70">
    <cfRule type="expression" dxfId="20" priority="11">
      <formula>IF(E$64&gt;$F$62,1,0)</formula>
    </cfRule>
  </conditionalFormatting>
  <conditionalFormatting sqref="E56:N60">
    <cfRule type="expression" dxfId="19" priority="10">
      <formula>IF(E$54&gt;$F$52,1,0)</formula>
    </cfRule>
  </conditionalFormatting>
  <conditionalFormatting sqref="E21:N26">
    <cfRule type="expression" dxfId="18" priority="9">
      <formula>IF(E$20&gt;$F$18,1,0)</formula>
    </cfRule>
  </conditionalFormatting>
  <conditionalFormatting sqref="E32:N36">
    <cfRule type="expression" dxfId="17" priority="8">
      <formula>IF(E$30&gt;$F$28,1,0)</formula>
    </cfRule>
  </conditionalFormatting>
  <conditionalFormatting sqref="H11 H8:H9">
    <cfRule type="expression" dxfId="16" priority="7">
      <formula>IF($F$9=1,1,0)</formula>
    </cfRule>
  </conditionalFormatting>
  <conditionalFormatting sqref="E55:N55">
    <cfRule type="expression" dxfId="15" priority="6">
      <formula>IF(E$54&gt;$F$52,1,0)</formula>
    </cfRule>
  </conditionalFormatting>
  <conditionalFormatting sqref="E31:N31">
    <cfRule type="expression" dxfId="14" priority="5">
      <formula>IF(E$30&gt;$F$28,1,0)</formula>
    </cfRule>
  </conditionalFormatting>
  <conditionalFormatting sqref="E70:N70">
    <cfRule type="expression" dxfId="13" priority="4">
      <formula>IF(E$64&lt;=$F$62,1,0)</formula>
    </cfRule>
  </conditionalFormatting>
  <conditionalFormatting sqref="H10">
    <cfRule type="expression" dxfId="12" priority="3">
      <formula>IF($F$9=1,1,0)</formula>
    </cfRule>
  </conditionalFormatting>
  <conditionalFormatting sqref="E69:N69">
    <cfRule type="expression" dxfId="11" priority="2">
      <formula>IF(E$64&lt;=$F$62,1,0)</formula>
    </cfRule>
  </conditionalFormatting>
  <conditionalFormatting sqref="E69:N69">
    <cfRule type="expression" dxfId="1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J33" sqref="J33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371</v>
      </c>
      <c r="D5" s="54" t="str">
        <f>Netzbetreiber!$D$9</f>
        <v>Stadtwerke Burgdorf Netz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338</v>
      </c>
      <c r="D6" s="54" t="str">
        <f>Netzbetreiber!$D$28</f>
        <v>Netz Burgdorf H-Gas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98701054000004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42675</v>
      </c>
      <c r="E8" s="130"/>
      <c r="F8" s="130"/>
      <c r="H8" s="128" t="s">
        <v>498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5" t="s">
        <v>650</v>
      </c>
    </row>
    <row r="11" spans="2:26" ht="15.75" thickBot="1">
      <c r="B11" s="139" t="s">
        <v>499</v>
      </c>
      <c r="C11" s="140" t="s">
        <v>512</v>
      </c>
      <c r="D11" s="294" t="s">
        <v>247</v>
      </c>
      <c r="E11" s="164" t="s">
        <v>519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5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41" si="0">$D$6</f>
        <v>Netz Burgdorf H-Gas</v>
      </c>
      <c r="D12" s="62" t="s">
        <v>247</v>
      </c>
      <c r="E12" s="165" t="s">
        <v>664</v>
      </c>
      <c r="F12" s="297" t="str">
        <f>VLOOKUP($E12,'BDEW-Standard'!$B$3:$M$94,F$9,0)</f>
        <v>BA4</v>
      </c>
      <c r="H12" s="274">
        <f>ROUND(VLOOKUP($E12,'BDEW-Standard'!$B$3:$M$94,H$9,0),7)</f>
        <v>0.93158890000000005</v>
      </c>
      <c r="I12" s="274">
        <f>ROUND(VLOOKUP($E12,'BDEW-Standard'!$B$3:$M$94,I$9,0),7)</f>
        <v>-33.35</v>
      </c>
      <c r="J12" s="274">
        <f>ROUND(VLOOKUP($E12,'BDEW-Standard'!$B$3:$M$94,J$9,0),7)</f>
        <v>5.7212303000000002</v>
      </c>
      <c r="K12" s="274">
        <f>ROUND(VLOOKUP($E12,'BDEW-Standard'!$B$3:$M$94,K$9,0),7)</f>
        <v>0.66564939999999995</v>
      </c>
      <c r="L12" s="337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8">
        <f t="shared" ref="Q12:Q26" si="1">($H12/(1+($I12/($Q$9-$L12))^$J12)+$K12)+MAX($M12*$Q$9+$N12,$O12*$Q$9+$P12)</f>
        <v>1.0766391850538448</v>
      </c>
      <c r="R12" s="275">
        <f>ROUND(VLOOKUP(MID($E12,4,3),'Wochentag F(WT)'!$B$7:$J$22,R$9,0),4)</f>
        <v>1.0848</v>
      </c>
      <c r="S12" s="275">
        <f>ROUND(VLOOKUP(MID($E12,4,3),'Wochentag F(WT)'!$B$7:$J$22,S$9,0),4)</f>
        <v>1.1211</v>
      </c>
      <c r="T12" s="275">
        <f>ROUND(VLOOKUP(MID($E12,4,3),'Wochentag F(WT)'!$B$7:$J$22,T$9,0),4)</f>
        <v>1.0769</v>
      </c>
      <c r="U12" s="275">
        <f>ROUND(VLOOKUP(MID($E12,4,3),'Wochentag F(WT)'!$B$7:$J$22,U$9,0),4)</f>
        <v>1.1353</v>
      </c>
      <c r="V12" s="275">
        <f>ROUND(VLOOKUP(MID($E12,4,3),'Wochentag F(WT)'!$B$7:$J$22,V$9,0),4)</f>
        <v>1.1402000000000001</v>
      </c>
      <c r="W12" s="275">
        <f>ROUND(VLOOKUP(MID($E12,4,3),'Wochentag F(WT)'!$B$7:$J$22,W$9,0),4)</f>
        <v>0.48520000000000002</v>
      </c>
      <c r="X12" s="276">
        <f>7-SUM(R12:W12)</f>
        <v>0.95650000000000013</v>
      </c>
      <c r="Y12" s="293"/>
      <c r="Z12" s="211"/>
    </row>
    <row r="13" spans="2:26" s="143" customFormat="1">
      <c r="B13" s="144">
        <v>2</v>
      </c>
      <c r="C13" s="145" t="str">
        <f t="shared" si="0"/>
        <v>Netz Burgdorf H-Gas</v>
      </c>
      <c r="D13" s="62" t="s">
        <v>247</v>
      </c>
      <c r="E13" s="165" t="s">
        <v>665</v>
      </c>
      <c r="F13" s="297" t="str">
        <f>VLOOKUP($E13,'BDEW-Standard'!$B$3:$M$94,F$9,0)</f>
        <v>BD4</v>
      </c>
      <c r="H13" s="274">
        <f>ROUND(VLOOKUP($E13,'BDEW-Standard'!$B$3:$M$94,H$9,0),7)</f>
        <v>3.75</v>
      </c>
      <c r="I13" s="274">
        <f>ROUND(VLOOKUP($E13,'BDEW-Standard'!$B$3:$M$94,I$9,0),7)</f>
        <v>-37.5</v>
      </c>
      <c r="J13" s="274">
        <f>ROUND(VLOOKUP($E13,'BDEW-Standard'!$B$3:$M$94,J$9,0),7)</f>
        <v>6.8</v>
      </c>
      <c r="K13" s="274">
        <f>ROUND(VLOOKUP($E13,'BDEW-Standard'!$B$3:$M$94,K$9,0),7)</f>
        <v>6.0911300000000002E-2</v>
      </c>
      <c r="L13" s="337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8">
        <f t="shared" si="1"/>
        <v>1.0126136468627658</v>
      </c>
      <c r="R13" s="275">
        <f>ROUND(VLOOKUP(MID($E13,4,3),'Wochentag F(WT)'!$B$7:$J$22,R$9,0),4)</f>
        <v>1.1052</v>
      </c>
      <c r="S13" s="275">
        <f>ROUND(VLOOKUP(MID($E13,4,3),'Wochentag F(WT)'!$B$7:$J$22,S$9,0),4)</f>
        <v>1.0857000000000001</v>
      </c>
      <c r="T13" s="275">
        <f>ROUND(VLOOKUP(MID($E13,4,3),'Wochentag F(WT)'!$B$7:$J$22,T$9,0),4)</f>
        <v>1.0378000000000001</v>
      </c>
      <c r="U13" s="275">
        <f>ROUND(VLOOKUP(MID($E13,4,3),'Wochentag F(WT)'!$B$7:$J$22,U$9,0),4)</f>
        <v>1.0622</v>
      </c>
      <c r="V13" s="275">
        <f>ROUND(VLOOKUP(MID($E13,4,3),'Wochentag F(WT)'!$B$7:$J$22,V$9,0),4)</f>
        <v>1.0266</v>
      </c>
      <c r="W13" s="275">
        <f>ROUND(VLOOKUP(MID($E13,4,3),'Wochentag F(WT)'!$B$7:$J$22,W$9,0),4)</f>
        <v>0.76290000000000002</v>
      </c>
      <c r="X13" s="276">
        <f t="shared" ref="X13:X26" si="2">7-SUM(R13:W13)</f>
        <v>0.91959999999999997</v>
      </c>
      <c r="Y13" s="293"/>
      <c r="Z13" s="211"/>
    </row>
    <row r="14" spans="2:26" s="143" customFormat="1">
      <c r="B14" s="144">
        <v>3</v>
      </c>
      <c r="C14" s="145" t="str">
        <f t="shared" si="0"/>
        <v>Netz Burgdorf H-Gas</v>
      </c>
      <c r="D14" s="62" t="s">
        <v>247</v>
      </c>
      <c r="E14" s="165" t="s">
        <v>666</v>
      </c>
      <c r="F14" s="297" t="str">
        <f>VLOOKUP($E14,'BDEW-Standard'!$B$3:$M$94,F$9,0)</f>
        <v>BH4</v>
      </c>
      <c r="H14" s="274">
        <f>ROUND(VLOOKUP($E14,'BDEW-Standard'!$B$3:$M$94,H$9,0),7)</f>
        <v>2.4595180999999999</v>
      </c>
      <c r="I14" s="274">
        <f>ROUND(VLOOKUP($E14,'BDEW-Standard'!$B$3:$M$94,I$9,0),7)</f>
        <v>-35.253212400000002</v>
      </c>
      <c r="J14" s="274">
        <f>ROUND(VLOOKUP($E14,'BDEW-Standard'!$B$3:$M$94,J$9,0),7)</f>
        <v>6.0587001000000003</v>
      </c>
      <c r="K14" s="274">
        <f>ROUND(VLOOKUP($E14,'BDEW-Standard'!$B$3:$M$94,K$9,0),7)</f>
        <v>0.16473699999999999</v>
      </c>
      <c r="L14" s="337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8">
        <f t="shared" si="1"/>
        <v>1.043802057143173</v>
      </c>
      <c r="R14" s="275">
        <f>ROUND(VLOOKUP(MID($E14,4,3),'Wochentag F(WT)'!$B$7:$J$22,R$9,0),4)</f>
        <v>0.97670000000000001</v>
      </c>
      <c r="S14" s="275">
        <f>ROUND(VLOOKUP(MID($E14,4,3),'Wochentag F(WT)'!$B$7:$J$22,S$9,0),4)</f>
        <v>1.0388999999999999</v>
      </c>
      <c r="T14" s="275">
        <f>ROUND(VLOOKUP(MID($E14,4,3),'Wochentag F(WT)'!$B$7:$J$22,T$9,0),4)</f>
        <v>1.0027999999999999</v>
      </c>
      <c r="U14" s="275">
        <f>ROUND(VLOOKUP(MID($E14,4,3),'Wochentag F(WT)'!$B$7:$J$22,U$9,0),4)</f>
        <v>1.0162</v>
      </c>
      <c r="V14" s="275">
        <f>ROUND(VLOOKUP(MID($E14,4,3),'Wochentag F(WT)'!$B$7:$J$22,V$9,0),4)</f>
        <v>1.0024</v>
      </c>
      <c r="W14" s="275">
        <f>ROUND(VLOOKUP(MID($E14,4,3),'Wochentag F(WT)'!$B$7:$J$22,W$9,0),4)</f>
        <v>1.0043</v>
      </c>
      <c r="X14" s="276">
        <f t="shared" si="2"/>
        <v>0.95870000000000122</v>
      </c>
      <c r="Y14" s="293"/>
      <c r="Z14" s="211"/>
    </row>
    <row r="15" spans="2:26" s="143" customFormat="1">
      <c r="B15" s="144">
        <v>4</v>
      </c>
      <c r="C15" s="145" t="str">
        <f t="shared" si="0"/>
        <v>Netz Burgdorf H-Gas</v>
      </c>
      <c r="D15" s="62" t="s">
        <v>247</v>
      </c>
      <c r="E15" s="165" t="s">
        <v>667</v>
      </c>
      <c r="F15" s="297" t="str">
        <f>VLOOKUP($E15,'BDEW-Standard'!$B$3:$M$94,F$9,0)</f>
        <v>GA4</v>
      </c>
      <c r="H15" s="274">
        <f>ROUND(VLOOKUP($E15,'BDEW-Standard'!$B$3:$M$94,H$9,0),7)</f>
        <v>2.8195655999999998</v>
      </c>
      <c r="I15" s="274">
        <f>ROUND(VLOOKUP($E15,'BDEW-Standard'!$B$3:$M$94,I$9,0),7)</f>
        <v>-36</v>
      </c>
      <c r="J15" s="274">
        <f>ROUND(VLOOKUP($E15,'BDEW-Standard'!$B$3:$M$94,J$9,0),7)</f>
        <v>7.7368518000000002</v>
      </c>
      <c r="K15" s="274">
        <f>ROUND(VLOOKUP($E15,'BDEW-Standard'!$B$3:$M$94,K$9,0),7)</f>
        <v>0.157281</v>
      </c>
      <c r="L15" s="337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8">
        <f t="shared" si="1"/>
        <v>0.96576337685759206</v>
      </c>
      <c r="R15" s="275">
        <f>ROUND(VLOOKUP(MID($E15,4,3),'Wochentag F(WT)'!$B$7:$J$22,R$9,0),4)</f>
        <v>0.93220000000000003</v>
      </c>
      <c r="S15" s="275">
        <f>ROUND(VLOOKUP(MID($E15,4,3),'Wochentag F(WT)'!$B$7:$J$22,S$9,0),4)</f>
        <v>0.98939999999999995</v>
      </c>
      <c r="T15" s="275">
        <f>ROUND(VLOOKUP(MID($E15,4,3),'Wochentag F(WT)'!$B$7:$J$22,T$9,0),4)</f>
        <v>1.0033000000000001</v>
      </c>
      <c r="U15" s="275">
        <f>ROUND(VLOOKUP(MID($E15,4,3),'Wochentag F(WT)'!$B$7:$J$22,U$9,0),4)</f>
        <v>1.0108999999999999</v>
      </c>
      <c r="V15" s="275">
        <f>ROUND(VLOOKUP(MID($E15,4,3),'Wochentag F(WT)'!$B$7:$J$22,V$9,0),4)</f>
        <v>1.018</v>
      </c>
      <c r="W15" s="275">
        <f>ROUND(VLOOKUP(MID($E15,4,3),'Wochentag F(WT)'!$B$7:$J$22,W$9,0),4)</f>
        <v>1.0356000000000001</v>
      </c>
      <c r="X15" s="276">
        <f t="shared" si="2"/>
        <v>1.0106000000000002</v>
      </c>
      <c r="Y15" s="293"/>
      <c r="Z15" s="211"/>
    </row>
    <row r="16" spans="2:26" s="143" customFormat="1">
      <c r="B16" s="144">
        <v>5</v>
      </c>
      <c r="C16" s="145" t="str">
        <f t="shared" si="0"/>
        <v>Netz Burgdorf H-Gas</v>
      </c>
      <c r="D16" s="62" t="s">
        <v>247</v>
      </c>
      <c r="E16" s="165" t="s">
        <v>668</v>
      </c>
      <c r="F16" s="297" t="str">
        <f>VLOOKUP($E16,'BDEW-Standard'!$B$3:$M$94,F$9,0)</f>
        <v>GB4</v>
      </c>
      <c r="H16" s="274">
        <f>ROUND(VLOOKUP($E16,'BDEW-Standard'!$B$3:$M$94,H$9,0),7)</f>
        <v>3.6017736</v>
      </c>
      <c r="I16" s="274">
        <f>ROUND(VLOOKUP($E16,'BDEW-Standard'!$B$3:$M$94,I$9,0),7)</f>
        <v>-37.882536799999997</v>
      </c>
      <c r="J16" s="274">
        <f>ROUND(VLOOKUP($E16,'BDEW-Standard'!$B$3:$M$94,J$9,0),7)</f>
        <v>6.9836070000000001</v>
      </c>
      <c r="K16" s="274">
        <f>ROUND(VLOOKUP($E16,'BDEW-Standard'!$B$3:$M$94,K$9,0),7)</f>
        <v>5.4826199999999999E-2</v>
      </c>
      <c r="L16" s="337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8">
        <f t="shared" si="1"/>
        <v>0.90239375975311864</v>
      </c>
      <c r="R16" s="275">
        <f>ROUND(VLOOKUP(MID($E16,4,3),'Wochentag F(WT)'!$B$7:$J$22,R$9,0),4)</f>
        <v>0.98970000000000002</v>
      </c>
      <c r="S16" s="275">
        <f>ROUND(VLOOKUP(MID($E16,4,3),'Wochentag F(WT)'!$B$7:$J$22,S$9,0),4)</f>
        <v>0.9627</v>
      </c>
      <c r="T16" s="275">
        <f>ROUND(VLOOKUP(MID($E16,4,3),'Wochentag F(WT)'!$B$7:$J$22,T$9,0),4)</f>
        <v>1.0507</v>
      </c>
      <c r="U16" s="275">
        <f>ROUND(VLOOKUP(MID($E16,4,3),'Wochentag F(WT)'!$B$7:$J$22,U$9,0),4)</f>
        <v>1.0551999999999999</v>
      </c>
      <c r="V16" s="275">
        <f>ROUND(VLOOKUP(MID($E16,4,3),'Wochentag F(WT)'!$B$7:$J$22,V$9,0),4)</f>
        <v>1.0297000000000001</v>
      </c>
      <c r="W16" s="275">
        <f>ROUND(VLOOKUP(MID($E16,4,3),'Wochentag F(WT)'!$B$7:$J$22,W$9,0),4)</f>
        <v>0.97670000000000001</v>
      </c>
      <c r="X16" s="276">
        <f t="shared" si="2"/>
        <v>0.9352999999999998</v>
      </c>
      <c r="Y16" s="293"/>
      <c r="Z16" s="211"/>
    </row>
    <row r="17" spans="2:26" s="143" customFormat="1">
      <c r="B17" s="144">
        <v>6</v>
      </c>
      <c r="C17" s="145" t="str">
        <f t="shared" si="0"/>
        <v>Netz Burgdorf H-Gas</v>
      </c>
      <c r="D17" s="62" t="s">
        <v>247</v>
      </c>
      <c r="E17" s="165" t="s">
        <v>669</v>
      </c>
      <c r="F17" s="297" t="str">
        <f>VLOOKUP($E17,'BDEW-Standard'!$B$3:$M$94,F$9,0)</f>
        <v>HA4</v>
      </c>
      <c r="H17" s="274">
        <f>ROUND(VLOOKUP($E17,'BDEW-Standard'!$B$3:$M$94,H$9,0),7)</f>
        <v>4.0196902000000003</v>
      </c>
      <c r="I17" s="274">
        <f>ROUND(VLOOKUP($E17,'BDEW-Standard'!$B$3:$M$94,I$9,0),7)</f>
        <v>-37.828203700000003</v>
      </c>
      <c r="J17" s="274">
        <f>ROUND(VLOOKUP($E17,'BDEW-Standard'!$B$3:$M$94,J$9,0),7)</f>
        <v>8.1593368999999996</v>
      </c>
      <c r="K17" s="274">
        <f>ROUND(VLOOKUP($E17,'BDEW-Standard'!$B$3:$M$94,K$9,0),7)</f>
        <v>4.72845E-2</v>
      </c>
      <c r="L17" s="337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8">
        <f t="shared" si="1"/>
        <v>0.86486713303260787</v>
      </c>
      <c r="R17" s="275">
        <f>ROUND(VLOOKUP(MID($E17,4,3),'Wochentag F(WT)'!$B$7:$J$22,R$9,0),4)</f>
        <v>1.0358000000000001</v>
      </c>
      <c r="S17" s="275">
        <f>ROUND(VLOOKUP(MID($E17,4,3),'Wochentag F(WT)'!$B$7:$J$22,S$9,0),4)</f>
        <v>1.0232000000000001</v>
      </c>
      <c r="T17" s="275">
        <f>ROUND(VLOOKUP(MID($E17,4,3),'Wochentag F(WT)'!$B$7:$J$22,T$9,0),4)</f>
        <v>1.0251999999999999</v>
      </c>
      <c r="U17" s="275">
        <f>ROUND(VLOOKUP(MID($E17,4,3),'Wochentag F(WT)'!$B$7:$J$22,U$9,0),4)</f>
        <v>1.0295000000000001</v>
      </c>
      <c r="V17" s="275">
        <f>ROUND(VLOOKUP(MID($E17,4,3),'Wochentag F(WT)'!$B$7:$J$22,V$9,0),4)</f>
        <v>1.0253000000000001</v>
      </c>
      <c r="W17" s="275">
        <f>ROUND(VLOOKUP(MID($E17,4,3),'Wochentag F(WT)'!$B$7:$J$22,W$9,0),4)</f>
        <v>0.96750000000000003</v>
      </c>
      <c r="X17" s="276">
        <f t="shared" si="2"/>
        <v>0.89350000000000041</v>
      </c>
      <c r="Y17" s="293"/>
      <c r="Z17" s="211"/>
    </row>
    <row r="18" spans="2:26" s="143" customFormat="1">
      <c r="B18" s="144">
        <v>7</v>
      </c>
      <c r="C18" s="145" t="str">
        <f t="shared" si="0"/>
        <v>Netz Burgdorf H-Gas</v>
      </c>
      <c r="D18" s="62" t="s">
        <v>247</v>
      </c>
      <c r="E18" s="165" t="s">
        <v>670</v>
      </c>
      <c r="F18" s="297" t="str">
        <f>VLOOKUP($E18,'BDEW-Standard'!$B$3:$M$94,F$9,0)</f>
        <v>HD4</v>
      </c>
      <c r="H18" s="274">
        <f>ROUND(VLOOKUP($E18,'BDEW-Standard'!$B$3:$M$94,H$9,0),7)</f>
        <v>3.0084346000000002</v>
      </c>
      <c r="I18" s="274">
        <f>ROUND(VLOOKUP($E18,'BDEW-Standard'!$B$3:$M$94,I$9,0),7)</f>
        <v>-36.607845300000001</v>
      </c>
      <c r="J18" s="274">
        <f>ROUND(VLOOKUP($E18,'BDEW-Standard'!$B$3:$M$94,J$9,0),7)</f>
        <v>7.3211870000000001</v>
      </c>
      <c r="K18" s="274">
        <f>ROUND(VLOOKUP($E18,'BDEW-Standard'!$B$3:$M$94,K$9,0),7)</f>
        <v>0.15496599999999999</v>
      </c>
      <c r="L18" s="337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8">
        <f t="shared" si="1"/>
        <v>0.97302438504000599</v>
      </c>
      <c r="R18" s="275">
        <f>ROUND(VLOOKUP(MID($E18,4,3),'Wochentag F(WT)'!$B$7:$J$22,R$9,0),4)</f>
        <v>1.03</v>
      </c>
      <c r="S18" s="275">
        <f>ROUND(VLOOKUP(MID($E18,4,3),'Wochentag F(WT)'!$B$7:$J$22,S$9,0),4)</f>
        <v>1.03</v>
      </c>
      <c r="T18" s="275">
        <f>ROUND(VLOOKUP(MID($E18,4,3),'Wochentag F(WT)'!$B$7:$J$22,T$9,0),4)</f>
        <v>1.02</v>
      </c>
      <c r="U18" s="275">
        <f>ROUND(VLOOKUP(MID($E18,4,3),'Wochentag F(WT)'!$B$7:$J$22,U$9,0),4)</f>
        <v>1.03</v>
      </c>
      <c r="V18" s="275">
        <f>ROUND(VLOOKUP(MID($E18,4,3),'Wochentag F(WT)'!$B$7:$J$22,V$9,0),4)</f>
        <v>1.01</v>
      </c>
      <c r="W18" s="275">
        <f>ROUND(VLOOKUP(MID($E18,4,3),'Wochentag F(WT)'!$B$7:$J$22,W$9,0),4)</f>
        <v>0.93</v>
      </c>
      <c r="X18" s="276">
        <f t="shared" si="2"/>
        <v>0.95000000000000018</v>
      </c>
      <c r="Y18" s="293"/>
      <c r="Z18" s="211"/>
    </row>
    <row r="19" spans="2:26" s="143" customFormat="1">
      <c r="B19" s="144">
        <v>8</v>
      </c>
      <c r="C19" s="145" t="str">
        <f t="shared" si="0"/>
        <v>Netz Burgdorf H-Gas</v>
      </c>
      <c r="D19" s="62" t="s">
        <v>247</v>
      </c>
      <c r="E19" s="165" t="s">
        <v>4</v>
      </c>
      <c r="F19" s="297" t="str">
        <f>VLOOKUP($E19,'BDEW-Standard'!$B$3:$M$94,F$9,0)</f>
        <v>HK3</v>
      </c>
      <c r="H19" s="274">
        <f>ROUND(VLOOKUP($E19,'BDEW-Standard'!$B$3:$M$94,H$9,0),7)</f>
        <v>0.40409319999999999</v>
      </c>
      <c r="I19" s="274">
        <f>ROUND(VLOOKUP($E19,'BDEW-Standard'!$B$3:$M$94,I$9,0),7)</f>
        <v>-24.439296800000001</v>
      </c>
      <c r="J19" s="274">
        <f>ROUND(VLOOKUP($E19,'BDEW-Standard'!$B$3:$M$94,J$9,0),7)</f>
        <v>6.5718174999999999</v>
      </c>
      <c r="K19" s="274">
        <f>ROUND(VLOOKUP($E19,'BDEW-Standard'!$B$3:$M$94,K$9,0),7)</f>
        <v>0.71077100000000004</v>
      </c>
      <c r="L19" s="337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8">
        <f t="shared" si="1"/>
        <v>1.0561214000512988</v>
      </c>
      <c r="R19" s="275">
        <f>ROUND(VLOOKUP(MID($E19,4,3),'Wochentag F(WT)'!$B$7:$J$22,R$9,0),4)</f>
        <v>1</v>
      </c>
      <c r="S19" s="275">
        <f>ROUND(VLOOKUP(MID($E19,4,3),'Wochentag F(WT)'!$B$7:$J$22,S$9,0),4)</f>
        <v>1</v>
      </c>
      <c r="T19" s="275">
        <f>ROUND(VLOOKUP(MID($E19,4,3),'Wochentag F(WT)'!$B$7:$J$22,T$9,0),4)</f>
        <v>1</v>
      </c>
      <c r="U19" s="275">
        <f>ROUND(VLOOKUP(MID($E19,4,3),'Wochentag F(WT)'!$B$7:$J$22,U$9,0),4)</f>
        <v>1</v>
      </c>
      <c r="V19" s="275">
        <f>ROUND(VLOOKUP(MID($E19,4,3),'Wochentag F(WT)'!$B$7:$J$22,V$9,0),4)</f>
        <v>1</v>
      </c>
      <c r="W19" s="275">
        <f>ROUND(VLOOKUP(MID($E19,4,3),'Wochentag F(WT)'!$B$7:$J$22,W$9,0),4)</f>
        <v>1</v>
      </c>
      <c r="X19" s="276">
        <f t="shared" si="2"/>
        <v>1</v>
      </c>
      <c r="Y19" s="293"/>
      <c r="Z19" s="211"/>
    </row>
    <row r="20" spans="2:26" s="143" customFormat="1">
      <c r="B20" s="144">
        <v>9</v>
      </c>
      <c r="C20" s="145" t="str">
        <f t="shared" si="0"/>
        <v>Netz Burgdorf H-Gas</v>
      </c>
      <c r="D20" s="62" t="s">
        <v>247</v>
      </c>
      <c r="E20" s="165" t="s">
        <v>671</v>
      </c>
      <c r="F20" s="297" t="str">
        <f>VLOOKUP($E20,'BDEW-Standard'!$B$3:$M$94,F$9,0)</f>
        <v>KO4</v>
      </c>
      <c r="H20" s="274">
        <f>ROUND(VLOOKUP($E20,'BDEW-Standard'!$B$3:$M$94,H$9,0),7)</f>
        <v>3.4428942999999999</v>
      </c>
      <c r="I20" s="274">
        <f>ROUND(VLOOKUP($E20,'BDEW-Standard'!$B$3:$M$94,I$9,0),7)</f>
        <v>-36.659050399999998</v>
      </c>
      <c r="J20" s="274">
        <f>ROUND(VLOOKUP($E20,'BDEW-Standard'!$B$3:$M$94,J$9,0),7)</f>
        <v>7.6083226000000002</v>
      </c>
      <c r="K20" s="274">
        <f>ROUND(VLOOKUP($E20,'BDEW-Standard'!$B$3:$M$94,K$9,0),7)</f>
        <v>7.4685000000000001E-2</v>
      </c>
      <c r="L20" s="337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8">
        <f t="shared" si="1"/>
        <v>0.97768382110526542</v>
      </c>
      <c r="R20" s="275">
        <f>ROUND(VLOOKUP(MID($E20,4,3),'Wochentag F(WT)'!$B$7:$J$22,R$9,0),4)</f>
        <v>1.0354000000000001</v>
      </c>
      <c r="S20" s="275">
        <f>ROUND(VLOOKUP(MID($E20,4,3),'Wochentag F(WT)'!$B$7:$J$22,S$9,0),4)</f>
        <v>1.0523</v>
      </c>
      <c r="T20" s="275">
        <f>ROUND(VLOOKUP(MID($E20,4,3),'Wochentag F(WT)'!$B$7:$J$22,T$9,0),4)</f>
        <v>1.0448999999999999</v>
      </c>
      <c r="U20" s="275">
        <f>ROUND(VLOOKUP(MID($E20,4,3),'Wochentag F(WT)'!$B$7:$J$22,U$9,0),4)</f>
        <v>1.0494000000000001</v>
      </c>
      <c r="V20" s="275">
        <f>ROUND(VLOOKUP(MID($E20,4,3),'Wochentag F(WT)'!$B$7:$J$22,V$9,0),4)</f>
        <v>0.98850000000000005</v>
      </c>
      <c r="W20" s="275">
        <f>ROUND(VLOOKUP(MID($E20,4,3),'Wochentag F(WT)'!$B$7:$J$22,W$9,0),4)</f>
        <v>0.88600000000000001</v>
      </c>
      <c r="X20" s="276">
        <f t="shared" si="2"/>
        <v>0.94349999999999934</v>
      </c>
      <c r="Y20" s="293"/>
      <c r="Z20" s="211"/>
    </row>
    <row r="21" spans="2:26" s="143" customFormat="1">
      <c r="B21" s="144">
        <v>10</v>
      </c>
      <c r="C21" s="145" t="str">
        <f t="shared" si="0"/>
        <v>Netz Burgdorf H-Gas</v>
      </c>
      <c r="D21" s="62" t="s">
        <v>247</v>
      </c>
      <c r="E21" s="165" t="s">
        <v>672</v>
      </c>
      <c r="F21" s="297" t="str">
        <f>VLOOKUP($E21,'BDEW-Standard'!$B$3:$M$94,F$9,0)</f>
        <v>MF4</v>
      </c>
      <c r="H21" s="274">
        <f>ROUND(VLOOKUP($E21,'BDEW-Standard'!$B$3:$M$94,H$9,0),7)</f>
        <v>2.5187775000000001</v>
      </c>
      <c r="I21" s="274">
        <f>ROUND(VLOOKUP($E21,'BDEW-Standard'!$B$3:$M$94,I$9,0),7)</f>
        <v>-35.033375399999997</v>
      </c>
      <c r="J21" s="274">
        <f>ROUND(VLOOKUP($E21,'BDEW-Standard'!$B$3:$M$94,J$9,0),7)</f>
        <v>6.2240634000000004</v>
      </c>
      <c r="K21" s="274">
        <f>ROUND(VLOOKUP($E21,'BDEW-Standard'!$B$3:$M$94,K$9,0),7)</f>
        <v>0.10107820000000001</v>
      </c>
      <c r="L21" s="337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8">
        <f t="shared" si="1"/>
        <v>1.0146273685996503</v>
      </c>
      <c r="R21" s="275">
        <f>ROUND(VLOOKUP(MID($E21,4,3),'Wochentag F(WT)'!$B$7:$J$22,R$9,0),4)</f>
        <v>1.0354000000000001</v>
      </c>
      <c r="S21" s="275">
        <f>ROUND(VLOOKUP(MID($E21,4,3),'Wochentag F(WT)'!$B$7:$J$22,S$9,0),4)</f>
        <v>1.0523</v>
      </c>
      <c r="T21" s="275">
        <f>ROUND(VLOOKUP(MID($E21,4,3),'Wochentag F(WT)'!$B$7:$J$22,T$9,0),4)</f>
        <v>1.0448999999999999</v>
      </c>
      <c r="U21" s="275">
        <f>ROUND(VLOOKUP(MID($E21,4,3),'Wochentag F(WT)'!$B$7:$J$22,U$9,0),4)</f>
        <v>1.0494000000000001</v>
      </c>
      <c r="V21" s="275">
        <f>ROUND(VLOOKUP(MID($E21,4,3),'Wochentag F(WT)'!$B$7:$J$22,V$9,0),4)</f>
        <v>0.98850000000000005</v>
      </c>
      <c r="W21" s="275">
        <f>ROUND(VLOOKUP(MID($E21,4,3),'Wochentag F(WT)'!$B$7:$J$22,W$9,0),4)</f>
        <v>0.88600000000000001</v>
      </c>
      <c r="X21" s="276">
        <f t="shared" si="2"/>
        <v>0.94349999999999934</v>
      </c>
      <c r="Y21" s="293"/>
      <c r="Z21" s="211"/>
    </row>
    <row r="22" spans="2:26" s="143" customFormat="1">
      <c r="B22" s="144">
        <v>11</v>
      </c>
      <c r="C22" s="145" t="str">
        <f t="shared" si="0"/>
        <v>Netz Burgdorf H-Gas</v>
      </c>
      <c r="D22" s="62" t="s">
        <v>247</v>
      </c>
      <c r="E22" s="165" t="s">
        <v>673</v>
      </c>
      <c r="F22" s="297" t="str">
        <f>VLOOKUP($E22,'BDEW-Standard'!$B$3:$M$94,F$9,0)</f>
        <v>MK4</v>
      </c>
      <c r="H22" s="274">
        <f>ROUND(VLOOKUP($E22,'BDEW-Standard'!$B$3:$M$94,H$9,0),7)</f>
        <v>3.1177248</v>
      </c>
      <c r="I22" s="274">
        <f>ROUND(VLOOKUP($E22,'BDEW-Standard'!$B$3:$M$94,I$9,0),7)</f>
        <v>-35.871506199999999</v>
      </c>
      <c r="J22" s="274">
        <f>ROUND(VLOOKUP($E22,'BDEW-Standard'!$B$3:$M$94,J$9,0),7)</f>
        <v>7.5186828999999999</v>
      </c>
      <c r="K22" s="274">
        <f>ROUND(VLOOKUP($E22,'BDEW-Standard'!$B$3:$M$94,K$9,0),7)</f>
        <v>3.4330100000000002E-2</v>
      </c>
      <c r="L22" s="337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8">
        <f t="shared" si="1"/>
        <v>0.9622064996731321</v>
      </c>
      <c r="R22" s="275">
        <f>ROUND(VLOOKUP(MID($E22,4,3),'Wochentag F(WT)'!$B$7:$J$22,R$9,0),4)</f>
        <v>1.0699000000000001</v>
      </c>
      <c r="S22" s="275">
        <f>ROUND(VLOOKUP(MID($E22,4,3),'Wochentag F(WT)'!$B$7:$J$22,S$9,0),4)</f>
        <v>1.0365</v>
      </c>
      <c r="T22" s="275">
        <f>ROUND(VLOOKUP(MID($E22,4,3),'Wochentag F(WT)'!$B$7:$J$22,T$9,0),4)</f>
        <v>0.99329999999999996</v>
      </c>
      <c r="U22" s="275">
        <f>ROUND(VLOOKUP(MID($E22,4,3),'Wochentag F(WT)'!$B$7:$J$22,U$9,0),4)</f>
        <v>0.99480000000000002</v>
      </c>
      <c r="V22" s="275">
        <f>ROUND(VLOOKUP(MID($E22,4,3),'Wochentag F(WT)'!$B$7:$J$22,V$9,0),4)</f>
        <v>1.0659000000000001</v>
      </c>
      <c r="W22" s="275">
        <f>ROUND(VLOOKUP(MID($E22,4,3),'Wochentag F(WT)'!$B$7:$J$22,W$9,0),4)</f>
        <v>0.93620000000000003</v>
      </c>
      <c r="X22" s="276">
        <f t="shared" si="2"/>
        <v>0.90339999999999954</v>
      </c>
      <c r="Y22" s="293"/>
      <c r="Z22" s="211"/>
    </row>
    <row r="23" spans="2:26" s="143" customFormat="1">
      <c r="B23" s="144">
        <v>12</v>
      </c>
      <c r="C23" s="145" t="str">
        <f t="shared" si="0"/>
        <v>Netz Burgdorf H-Gas</v>
      </c>
      <c r="D23" s="62" t="s">
        <v>247</v>
      </c>
      <c r="E23" s="165" t="s">
        <v>674</v>
      </c>
      <c r="F23" s="297" t="str">
        <f>VLOOKUP($E23,'BDEW-Standard'!$B$3:$M$94,F$9,0)</f>
        <v>PD4</v>
      </c>
      <c r="H23" s="274">
        <f>ROUND(VLOOKUP($E23,'BDEW-Standard'!$B$3:$M$94,H$9,0),7)</f>
        <v>3.85</v>
      </c>
      <c r="I23" s="274">
        <f>ROUND(VLOOKUP($E23,'BDEW-Standard'!$B$3:$M$94,I$9,0),7)</f>
        <v>-37</v>
      </c>
      <c r="J23" s="274">
        <f>ROUND(VLOOKUP($E23,'BDEW-Standard'!$B$3:$M$94,J$9,0),7)</f>
        <v>10.2405021</v>
      </c>
      <c r="K23" s="274">
        <f>ROUND(VLOOKUP($E23,'BDEW-Standard'!$B$3:$M$94,K$9,0),7)</f>
        <v>4.6924300000000002E-2</v>
      </c>
      <c r="L23" s="337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8">
        <f t="shared" si="1"/>
        <v>0.75691065279879233</v>
      </c>
      <c r="R23" s="275">
        <f>ROUND(VLOOKUP(MID($E23,4,3),'Wochentag F(WT)'!$B$7:$J$22,R$9,0),4)</f>
        <v>1.0214000000000001</v>
      </c>
      <c r="S23" s="275">
        <f>ROUND(VLOOKUP(MID($E23,4,3),'Wochentag F(WT)'!$B$7:$J$22,S$9,0),4)</f>
        <v>1.0866</v>
      </c>
      <c r="T23" s="275">
        <f>ROUND(VLOOKUP(MID($E23,4,3),'Wochentag F(WT)'!$B$7:$J$22,T$9,0),4)</f>
        <v>1.0720000000000001</v>
      </c>
      <c r="U23" s="275">
        <f>ROUND(VLOOKUP(MID($E23,4,3),'Wochentag F(WT)'!$B$7:$J$22,U$9,0),4)</f>
        <v>1.0557000000000001</v>
      </c>
      <c r="V23" s="275">
        <f>ROUND(VLOOKUP(MID($E23,4,3),'Wochentag F(WT)'!$B$7:$J$22,V$9,0),4)</f>
        <v>1.0117</v>
      </c>
      <c r="W23" s="275">
        <f>ROUND(VLOOKUP(MID($E23,4,3),'Wochentag F(WT)'!$B$7:$J$22,W$9,0),4)</f>
        <v>0.90010000000000001</v>
      </c>
      <c r="X23" s="276">
        <f t="shared" si="2"/>
        <v>0.85249999999999915</v>
      </c>
      <c r="Y23" s="293"/>
      <c r="Z23" s="211"/>
    </row>
    <row r="24" spans="2:26" s="143" customFormat="1">
      <c r="B24" s="144">
        <v>13</v>
      </c>
      <c r="C24" s="145" t="str">
        <f t="shared" si="0"/>
        <v>Netz Burgdorf H-Gas</v>
      </c>
      <c r="D24" s="62" t="s">
        <v>247</v>
      </c>
      <c r="E24" s="165" t="s">
        <v>675</v>
      </c>
      <c r="F24" s="297" t="str">
        <f>VLOOKUP($E24,'BDEW-Standard'!$B$3:$M$94,F$9,0)</f>
        <v>WA4</v>
      </c>
      <c r="H24" s="274">
        <f>ROUND(VLOOKUP($E24,'BDEW-Standard'!$B$3:$M$94,H$9,0),7)</f>
        <v>1.0535874999999999</v>
      </c>
      <c r="I24" s="274">
        <f>ROUND(VLOOKUP($E24,'BDEW-Standard'!$B$3:$M$94,I$9,0),7)</f>
        <v>-35.299999999999997</v>
      </c>
      <c r="J24" s="274">
        <f>ROUND(VLOOKUP($E24,'BDEW-Standard'!$B$3:$M$94,J$9,0),7)</f>
        <v>4.8662747</v>
      </c>
      <c r="K24" s="274">
        <f>ROUND(VLOOKUP($E24,'BDEW-Standard'!$B$3:$M$94,K$9,0),7)</f>
        <v>0.68110420000000005</v>
      </c>
      <c r="L24" s="337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8">
        <f t="shared" si="1"/>
        <v>1.0844348950990992</v>
      </c>
      <c r="R24" s="275">
        <f>ROUND(VLOOKUP(MID($E24,4,3),'Wochentag F(WT)'!$B$7:$J$22,R$9,0),4)</f>
        <v>1.2457</v>
      </c>
      <c r="S24" s="275">
        <f>ROUND(VLOOKUP(MID($E24,4,3),'Wochentag F(WT)'!$B$7:$J$22,S$9,0),4)</f>
        <v>1.2615000000000001</v>
      </c>
      <c r="T24" s="275">
        <f>ROUND(VLOOKUP(MID($E24,4,3),'Wochentag F(WT)'!$B$7:$J$22,T$9,0),4)</f>
        <v>1.2706999999999999</v>
      </c>
      <c r="U24" s="275">
        <f>ROUND(VLOOKUP(MID($E24,4,3),'Wochentag F(WT)'!$B$7:$J$22,U$9,0),4)</f>
        <v>1.2430000000000001</v>
      </c>
      <c r="V24" s="275">
        <f>ROUND(VLOOKUP(MID($E24,4,3),'Wochentag F(WT)'!$B$7:$J$22,V$9,0),4)</f>
        <v>1.1275999999999999</v>
      </c>
      <c r="W24" s="275">
        <f>ROUND(VLOOKUP(MID($E24,4,3),'Wochentag F(WT)'!$B$7:$J$22,W$9,0),4)</f>
        <v>0.38769999999999999</v>
      </c>
      <c r="X24" s="276">
        <f t="shared" si="2"/>
        <v>0.46379999999999999</v>
      </c>
      <c r="Y24" s="293"/>
      <c r="Z24" s="211"/>
    </row>
    <row r="25" spans="2:26" s="143" customFormat="1">
      <c r="B25" s="144">
        <v>14</v>
      </c>
      <c r="C25" s="145" t="str">
        <f t="shared" si="0"/>
        <v>Netz Burgdorf H-Gas</v>
      </c>
      <c r="D25" s="62" t="s">
        <v>247</v>
      </c>
      <c r="E25" s="165" t="s">
        <v>24</v>
      </c>
      <c r="F25" s="297" t="str">
        <f>VLOOKUP($E25,'BDEW-Standard'!$B$3:$M$154,F$9,0)</f>
        <v>I14</v>
      </c>
      <c r="H25" s="274">
        <f>ROUND(VLOOKUP($E25,'BDEW-Standard'!$B$3:$M$154,H$9,0),7)</f>
        <v>3.1935978</v>
      </c>
      <c r="I25" s="341">
        <f>ROUND(VLOOKUP($E25,'BDEW-Standard'!$B$3:$M$154,I$9,0),7)</f>
        <v>-37.414247799999998</v>
      </c>
      <c r="J25" s="341">
        <f>ROUND(VLOOKUP($E25,'BDEW-Standard'!$B$3:$M$154,J$9,0),7)</f>
        <v>6.1824021</v>
      </c>
      <c r="K25" s="341">
        <f>ROUND(VLOOKUP($E25,'BDEW-Standard'!$B$3:$M$154,K$9,0),7)</f>
        <v>8.1086000000000005E-2</v>
      </c>
      <c r="L25" s="342">
        <f>ROUND(VLOOKUP($E25,'BDEW-Standard'!$B$3:$M$154,L$9,0),1)</f>
        <v>40</v>
      </c>
      <c r="M25" s="341">
        <f>ROUND(VLOOKUP($E25,'BDEW-Standard'!$B$3:$M$154,M$9,0),7)</f>
        <v>0</v>
      </c>
      <c r="N25" s="341">
        <f>ROUND(VLOOKUP($E25,'BDEW-Standard'!$B$3:$M$154,N$9,0),7)</f>
        <v>0</v>
      </c>
      <c r="O25" s="341">
        <f>ROUND(VLOOKUP($E25,'BDEW-Standard'!$B$3:$M$154,O$9,0),7)</f>
        <v>0</v>
      </c>
      <c r="P25" s="341">
        <f>ROUND(VLOOKUP($E25,'BDEW-Standard'!$B$3:$M$154,P$9,0),7)</f>
        <v>0</v>
      </c>
      <c r="Q25" s="338">
        <f t="shared" si="1"/>
        <v>0.96123311186795624</v>
      </c>
      <c r="R25" s="275">
        <f>ROUND(VLOOKUP(MID($E25,4,3),'Wochentag F(WT)'!$B$7:$J$22,R$9,0),4)</f>
        <v>1</v>
      </c>
      <c r="S25" s="275">
        <f>ROUND(VLOOKUP(MID($E25,4,3),'Wochentag F(WT)'!$B$7:$J$22,S$9,0),4)</f>
        <v>1</v>
      </c>
      <c r="T25" s="275">
        <f>ROUND(VLOOKUP(MID($E25,4,3),'Wochentag F(WT)'!$B$7:$J$22,T$9,0),4)</f>
        <v>1</v>
      </c>
      <c r="U25" s="275">
        <f>ROUND(VLOOKUP(MID($E25,4,3),'Wochentag F(WT)'!$B$7:$J$22,U$9,0),4)</f>
        <v>1</v>
      </c>
      <c r="V25" s="275">
        <f>ROUND(VLOOKUP(MID($E25,4,3),'Wochentag F(WT)'!$B$7:$J$22,V$9,0),4)</f>
        <v>1</v>
      </c>
      <c r="W25" s="275">
        <f>ROUND(VLOOKUP(MID($E25,4,3),'Wochentag F(WT)'!$B$7:$J$22,W$9,0),4)</f>
        <v>1</v>
      </c>
      <c r="X25" s="276">
        <f t="shared" si="2"/>
        <v>1</v>
      </c>
      <c r="Y25" s="293"/>
      <c r="Z25" s="211"/>
    </row>
    <row r="26" spans="2:26" s="143" customFormat="1">
      <c r="B26" s="144">
        <v>15</v>
      </c>
      <c r="C26" s="145" t="str">
        <f t="shared" si="0"/>
        <v>Netz Burgdorf H-Gas</v>
      </c>
      <c r="D26" s="62" t="s">
        <v>247</v>
      </c>
      <c r="E26" s="166" t="s">
        <v>32</v>
      </c>
      <c r="F26" s="297" t="str">
        <f>VLOOKUP($E26,'BDEW-Standard'!$B$3:$M$154,F$9,0)</f>
        <v>I24</v>
      </c>
      <c r="H26" s="274">
        <f>ROUND(VLOOKUP($E26,'BDEW-Standard'!$B$3:$M$154,H$9,0),7)</f>
        <v>2.529738</v>
      </c>
      <c r="I26" s="341">
        <f>ROUND(VLOOKUP($E26,'BDEW-Standard'!$B$3:$M$154,I$9,0),7)</f>
        <v>-35.0300145</v>
      </c>
      <c r="J26" s="341">
        <f>ROUND(VLOOKUP($E26,'BDEW-Standard'!$B$3:$M$154,J$9,0),7)</f>
        <v>6.2051109000000002</v>
      </c>
      <c r="K26" s="341">
        <f>ROUND(VLOOKUP($E26,'BDEW-Standard'!$B$3:$M$154,K$9,0),7)</f>
        <v>0.1058318</v>
      </c>
      <c r="L26" s="342">
        <f>ROUND(VLOOKUP($E26,'BDEW-Standard'!$B$3:$M$154,L$9,0),1)</f>
        <v>40</v>
      </c>
      <c r="M26" s="341">
        <f>ROUND(VLOOKUP($E26,'BDEW-Standard'!$B$3:$M$154,M$9,0),7)</f>
        <v>0</v>
      </c>
      <c r="N26" s="341">
        <f>ROUND(VLOOKUP($E26,'BDEW-Standard'!$B$3:$M$154,N$9,0),7)</f>
        <v>0</v>
      </c>
      <c r="O26" s="341">
        <f>ROUND(VLOOKUP($E26,'BDEW-Standard'!$B$3:$M$154,O$9,0),7)</f>
        <v>0</v>
      </c>
      <c r="P26" s="341">
        <f>ROUND(VLOOKUP($E26,'BDEW-Standard'!$B$3:$M$154,P$9,0),7)</f>
        <v>0</v>
      </c>
      <c r="Q26" s="338">
        <f t="shared" si="1"/>
        <v>1.0247084991768873</v>
      </c>
      <c r="R26" s="275">
        <f>ROUND(VLOOKUP(MID($E26,4,3),'Wochentag F(WT)'!$B$7:$J$22,R$9,0),4)</f>
        <v>1</v>
      </c>
      <c r="S26" s="275">
        <f>ROUND(VLOOKUP(MID($E26,4,3),'Wochentag F(WT)'!$B$7:$J$22,S$9,0),4)</f>
        <v>1</v>
      </c>
      <c r="T26" s="275">
        <f>ROUND(VLOOKUP(MID($E26,4,3),'Wochentag F(WT)'!$B$7:$J$22,T$9,0),4)</f>
        <v>1</v>
      </c>
      <c r="U26" s="275">
        <f>ROUND(VLOOKUP(MID($E26,4,3),'Wochentag F(WT)'!$B$7:$J$22,U$9,0),4)</f>
        <v>1</v>
      </c>
      <c r="V26" s="275">
        <f>ROUND(VLOOKUP(MID($E26,4,3),'Wochentag F(WT)'!$B$7:$J$22,V$9,0),4)</f>
        <v>1</v>
      </c>
      <c r="W26" s="275">
        <f>ROUND(VLOOKUP(MID($E26,4,3),'Wochentag F(WT)'!$B$7:$J$22,W$9,0),4)</f>
        <v>1</v>
      </c>
      <c r="X26" s="276">
        <f t="shared" si="2"/>
        <v>1</v>
      </c>
      <c r="Y26" s="293"/>
      <c r="Z26" s="211"/>
    </row>
    <row r="27" spans="2:26" s="143" customFormat="1">
      <c r="B27" s="144">
        <v>16</v>
      </c>
      <c r="C27" s="145" t="str">
        <f t="shared" si="0"/>
        <v>Netz Burgdorf H-Gas</v>
      </c>
      <c r="D27" s="62"/>
      <c r="E27" s="166"/>
      <c r="F27" s="297"/>
      <c r="H27" s="277"/>
      <c r="I27" s="277"/>
      <c r="J27" s="277"/>
      <c r="K27" s="277"/>
      <c r="L27" s="337"/>
      <c r="M27" s="277"/>
      <c r="N27" s="277"/>
      <c r="O27" s="277"/>
      <c r="P27" s="277"/>
      <c r="Q27" s="339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Netz Burgdorf H-Gas</v>
      </c>
      <c r="D28" s="62"/>
      <c r="E28" s="166"/>
      <c r="F28" s="297"/>
      <c r="H28" s="277"/>
      <c r="I28" s="277"/>
      <c r="J28" s="277"/>
      <c r="K28" s="277"/>
      <c r="L28" s="337"/>
      <c r="M28" s="277"/>
      <c r="N28" s="277"/>
      <c r="O28" s="277"/>
      <c r="P28" s="277"/>
      <c r="Q28" s="339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Netz Burgdorf H-Gas</v>
      </c>
      <c r="D29" s="62"/>
      <c r="E29" s="166"/>
      <c r="F29" s="297"/>
      <c r="H29" s="277"/>
      <c r="I29" s="277"/>
      <c r="J29" s="277"/>
      <c r="K29" s="277"/>
      <c r="L29" s="337"/>
      <c r="M29" s="277"/>
      <c r="N29" s="277"/>
      <c r="O29" s="277"/>
      <c r="P29" s="277"/>
      <c r="Q29" s="339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Netz Burgdorf H-Gas</v>
      </c>
      <c r="D30" s="62"/>
      <c r="E30" s="166"/>
      <c r="F30" s="297"/>
      <c r="H30" s="277"/>
      <c r="I30" s="277"/>
      <c r="J30" s="277"/>
      <c r="K30" s="277"/>
      <c r="L30" s="337"/>
      <c r="M30" s="277"/>
      <c r="N30" s="277"/>
      <c r="O30" s="277"/>
      <c r="P30" s="277"/>
      <c r="Q30" s="339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Netz Burgdorf H-Gas</v>
      </c>
      <c r="D31" s="62"/>
      <c r="E31" s="166"/>
      <c r="F31" s="297"/>
      <c r="H31" s="277"/>
      <c r="I31" s="277"/>
      <c r="J31" s="277"/>
      <c r="K31" s="277"/>
      <c r="L31" s="337"/>
      <c r="M31" s="277"/>
      <c r="N31" s="277"/>
      <c r="O31" s="277"/>
      <c r="P31" s="277"/>
      <c r="Q31" s="339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Netz Burgdorf H-Gas</v>
      </c>
      <c r="D32" s="62"/>
      <c r="E32" s="166"/>
      <c r="F32" s="297"/>
      <c r="H32" s="277"/>
      <c r="I32" s="277"/>
      <c r="J32" s="277"/>
      <c r="K32" s="277"/>
      <c r="L32" s="337"/>
      <c r="M32" s="277"/>
      <c r="N32" s="277"/>
      <c r="O32" s="277"/>
      <c r="P32" s="277"/>
      <c r="Q32" s="339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Netz Burgdorf H-Gas</v>
      </c>
      <c r="D33" s="62"/>
      <c r="E33" s="166"/>
      <c r="F33" s="297"/>
      <c r="H33" s="277"/>
      <c r="I33" s="277"/>
      <c r="J33" s="277"/>
      <c r="K33" s="277"/>
      <c r="L33" s="337"/>
      <c r="M33" s="277"/>
      <c r="N33" s="277"/>
      <c r="O33" s="277"/>
      <c r="P33" s="277"/>
      <c r="Q33" s="339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Netz Burgdorf H-Gas</v>
      </c>
      <c r="D34" s="62"/>
      <c r="E34" s="166"/>
      <c r="F34" s="297"/>
      <c r="H34" s="277"/>
      <c r="I34" s="277"/>
      <c r="J34" s="277"/>
      <c r="K34" s="277"/>
      <c r="L34" s="337"/>
      <c r="M34" s="277"/>
      <c r="N34" s="277"/>
      <c r="O34" s="277"/>
      <c r="P34" s="277"/>
      <c r="Q34" s="339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Netz Burgdorf H-Gas</v>
      </c>
      <c r="D35" s="62"/>
      <c r="E35" s="166"/>
      <c r="F35" s="297"/>
      <c r="H35" s="277"/>
      <c r="I35" s="277"/>
      <c r="J35" s="277"/>
      <c r="K35" s="277"/>
      <c r="L35" s="337"/>
      <c r="M35" s="277"/>
      <c r="N35" s="277"/>
      <c r="O35" s="277"/>
      <c r="P35" s="277"/>
      <c r="Q35" s="339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Netz Burgdorf H-Gas</v>
      </c>
      <c r="D36" s="62"/>
      <c r="E36" s="166"/>
      <c r="F36" s="297"/>
      <c r="H36" s="277"/>
      <c r="I36" s="277"/>
      <c r="J36" s="277"/>
      <c r="K36" s="277"/>
      <c r="L36" s="337"/>
      <c r="M36" s="277"/>
      <c r="N36" s="277"/>
      <c r="O36" s="277"/>
      <c r="P36" s="277"/>
      <c r="Q36" s="339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Netz Burgdorf H-Gas</v>
      </c>
      <c r="D37" s="62"/>
      <c r="E37" s="166"/>
      <c r="F37" s="297"/>
      <c r="H37" s="277"/>
      <c r="I37" s="277"/>
      <c r="J37" s="277"/>
      <c r="K37" s="277"/>
      <c r="L37" s="337"/>
      <c r="M37" s="277"/>
      <c r="N37" s="277"/>
      <c r="O37" s="277"/>
      <c r="P37" s="277"/>
      <c r="Q37" s="339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Netz Burgdorf H-Gas</v>
      </c>
      <c r="D38" s="62"/>
      <c r="E38" s="166"/>
      <c r="F38" s="297"/>
      <c r="H38" s="277"/>
      <c r="I38" s="277"/>
      <c r="J38" s="277"/>
      <c r="K38" s="277"/>
      <c r="L38" s="337"/>
      <c r="M38" s="277"/>
      <c r="N38" s="277"/>
      <c r="O38" s="277"/>
      <c r="P38" s="277"/>
      <c r="Q38" s="339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Netz Burgdorf H-Gas</v>
      </c>
      <c r="D39" s="62"/>
      <c r="E39" s="166"/>
      <c r="F39" s="297"/>
      <c r="H39" s="277"/>
      <c r="I39" s="277"/>
      <c r="J39" s="277"/>
      <c r="K39" s="277"/>
      <c r="L39" s="337"/>
      <c r="M39" s="277"/>
      <c r="N39" s="277"/>
      <c r="O39" s="277"/>
      <c r="P39" s="277"/>
      <c r="Q39" s="339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Netz Burgdorf H-Gas</v>
      </c>
      <c r="D40" s="62"/>
      <c r="E40" s="166"/>
      <c r="F40" s="297"/>
      <c r="H40" s="277"/>
      <c r="I40" s="277"/>
      <c r="J40" s="277"/>
      <c r="K40" s="277"/>
      <c r="L40" s="337"/>
      <c r="M40" s="277"/>
      <c r="N40" s="277"/>
      <c r="O40" s="277"/>
      <c r="P40" s="277"/>
      <c r="Q40" s="339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Netz Burgdorf H-Gas</v>
      </c>
      <c r="D41" s="62"/>
      <c r="E41" s="166"/>
      <c r="F41" s="297"/>
      <c r="H41" s="277"/>
      <c r="I41" s="277"/>
      <c r="J41" s="277"/>
      <c r="K41" s="277"/>
      <c r="L41" s="337"/>
      <c r="M41" s="277"/>
      <c r="N41" s="277"/>
      <c r="O41" s="277"/>
      <c r="P41" s="277"/>
      <c r="Q41" s="339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M11:P41 R11:Y41 F11:F41 H11:K41 L25:P26">
    <cfRule type="expression" dxfId="9" priority="11">
      <formula>ISERROR(F11)</formula>
    </cfRule>
  </conditionalFormatting>
  <conditionalFormatting sqref="Y12:Y41 E12:F41">
    <cfRule type="duplicateValues" dxfId="8" priority="33"/>
  </conditionalFormatting>
  <conditionalFormatting sqref="L11:L41">
    <cfRule type="expression" dxfId="7" priority="2">
      <formula>ISERROR(L11)</formula>
    </cfRule>
  </conditionalFormatting>
  <conditionalFormatting sqref="Q11:Q41">
    <cfRule type="expression" dxfId="6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5:F18 H12:K24 C13:C33 C34:C41 M12:X24 F22:F23 R26:X26 R25:X25" unlockedFormula="1"/>
    <ignoredError sqref="L12:L24" formula="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opLeftCell="A4" zoomScale="80" zoomScaleNormal="80" workbookViewId="0">
      <selection activeCell="S27" sqref="S2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Burgdorf Netz GmbH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Netz Burgdorf H-Gas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98701054000004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42675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6" t="s">
        <v>461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51" t="s">
        <v>585</v>
      </c>
      <c r="C10" s="352"/>
      <c r="D10" s="94">
        <v>2</v>
      </c>
      <c r="E10" s="95" t="str">
        <f>IF(ISERROR(HLOOKUP(E$11,$M$9:$AD$33,$D10,0)),"",HLOOKUP(E$11,$M$9:$AD$33,$D10,0))</f>
        <v xml:space="preserve">Nieder-sachsen  </v>
      </c>
      <c r="F10" s="349" t="s">
        <v>399</v>
      </c>
      <c r="G10" s="349"/>
      <c r="H10" s="349"/>
      <c r="I10" s="349"/>
      <c r="J10" s="349"/>
      <c r="K10" s="349"/>
      <c r="L10" s="350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 t="s">
        <v>676</v>
      </c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4">
        <f>MIN(SUMPRODUCT($M$11:$AD$11,M12:AD12),1)</f>
        <v>1</v>
      </c>
      <c r="F12" s="301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05">
        <f t="shared" si="0"/>
        <v>0</v>
      </c>
      <c r="F14" s="302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05">
        <f t="shared" si="0"/>
        <v>0</v>
      </c>
      <c r="F15" s="302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05">
        <f t="shared" si="0"/>
        <v>1</v>
      </c>
      <c r="F16" s="302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05">
        <f t="shared" si="0"/>
        <v>1</v>
      </c>
      <c r="F17" s="302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05">
        <f t="shared" si="0"/>
        <v>1</v>
      </c>
      <c r="F18" s="302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405</v>
      </c>
      <c r="C19" s="117"/>
      <c r="D19" s="111">
        <v>11</v>
      </c>
      <c r="E19" s="305">
        <f t="shared" si="0"/>
        <v>1</v>
      </c>
      <c r="F19" s="302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651</v>
      </c>
      <c r="C20" s="117"/>
      <c r="D20" s="111">
        <v>12</v>
      </c>
      <c r="E20" s="305">
        <f t="shared" si="0"/>
        <v>1</v>
      </c>
      <c r="F20" s="302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419</v>
      </c>
      <c r="C21" s="117"/>
      <c r="D21" s="111">
        <v>13</v>
      </c>
      <c r="E21" s="305">
        <f t="shared" si="0"/>
        <v>1</v>
      </c>
      <c r="F21" s="302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420</v>
      </c>
      <c r="C22" s="117"/>
      <c r="D22" s="111">
        <v>14</v>
      </c>
      <c r="E22" s="305">
        <f t="shared" si="0"/>
        <v>1</v>
      </c>
      <c r="F22" s="302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421</v>
      </c>
      <c r="C23" s="117"/>
      <c r="D23" s="111">
        <v>15</v>
      </c>
      <c r="E23" s="305">
        <f t="shared" si="0"/>
        <v>0</v>
      </c>
      <c r="F23" s="302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406</v>
      </c>
      <c r="C24" s="117"/>
      <c r="D24" s="111">
        <v>16</v>
      </c>
      <c r="E24" s="305">
        <f t="shared" si="0"/>
        <v>0</v>
      </c>
      <c r="F24" s="302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407</v>
      </c>
      <c r="C25" s="117"/>
      <c r="D25" s="111">
        <v>17</v>
      </c>
      <c r="E25" s="305">
        <f t="shared" si="0"/>
        <v>0</v>
      </c>
      <c r="F25" s="302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408</v>
      </c>
      <c r="C26" s="117"/>
      <c r="D26" s="111">
        <v>18</v>
      </c>
      <c r="E26" s="305">
        <f t="shared" si="0"/>
        <v>1</v>
      </c>
      <c r="F26" s="302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409</v>
      </c>
      <c r="C27" s="117"/>
      <c r="D27" s="111">
        <v>19</v>
      </c>
      <c r="E27" s="305">
        <f t="shared" si="0"/>
        <v>0</v>
      </c>
      <c r="F27" s="302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>
        <v>1</v>
      </c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410</v>
      </c>
      <c r="C28" s="117"/>
      <c r="D28" s="111">
        <v>20</v>
      </c>
      <c r="E28" s="305">
        <f t="shared" si="0"/>
        <v>0</v>
      </c>
      <c r="F28" s="302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411</v>
      </c>
      <c r="C29" s="117"/>
      <c r="D29" s="111">
        <v>21</v>
      </c>
      <c r="E29" s="305">
        <f t="shared" si="0"/>
        <v>0</v>
      </c>
      <c r="F29" s="302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412</v>
      </c>
      <c r="C30" s="117"/>
      <c r="D30" s="111">
        <v>22</v>
      </c>
      <c r="E30" s="305">
        <f t="shared" si="0"/>
        <v>0</v>
      </c>
      <c r="F30" s="302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413</v>
      </c>
      <c r="C31" s="117"/>
      <c r="D31" s="111">
        <v>23</v>
      </c>
      <c r="E31" s="305">
        <f t="shared" si="0"/>
        <v>1</v>
      </c>
      <c r="F31" s="302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414</v>
      </c>
      <c r="C32" s="117"/>
      <c r="D32" s="111">
        <v>24</v>
      </c>
      <c r="E32" s="305">
        <f t="shared" si="0"/>
        <v>1</v>
      </c>
      <c r="F32" s="302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415</v>
      </c>
      <c r="C33" s="123"/>
      <c r="D33" s="124">
        <v>25</v>
      </c>
      <c r="E33" s="306">
        <f t="shared" si="0"/>
        <v>0</v>
      </c>
      <c r="F33" s="303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20" zoomScale="80" zoomScaleNormal="80" workbookViewId="0">
      <selection activeCell="B130" sqref="B130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348</v>
      </c>
      <c r="B1" s="213">
        <v>42173</v>
      </c>
      <c r="D1" s="131" t="s">
        <v>457</v>
      </c>
      <c r="F1" s="214" t="s">
        <v>547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4" t="s">
        <v>654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458</v>
      </c>
      <c r="B1" s="128"/>
      <c r="D1" s="214" t="s">
        <v>547</v>
      </c>
    </row>
    <row r="2" spans="1:16">
      <c r="A2" s="234"/>
      <c r="B2" s="233" t="s">
        <v>459</v>
      </c>
    </row>
    <row r="3" spans="1:16" ht="20.100000000000001" customHeight="1">
      <c r="A3" s="353" t="s">
        <v>248</v>
      </c>
      <c r="B3" s="235" t="s">
        <v>86</v>
      </c>
      <c r="C3" s="236"/>
      <c r="D3" s="355" t="s">
        <v>460</v>
      </c>
      <c r="E3" s="356"/>
      <c r="F3" s="356"/>
      <c r="G3" s="356"/>
      <c r="H3" s="356"/>
      <c r="I3" s="356"/>
      <c r="J3" s="357"/>
      <c r="K3" s="237"/>
      <c r="L3" s="237"/>
      <c r="M3" s="237"/>
      <c r="N3" s="237"/>
      <c r="O3" s="238"/>
      <c r="P3" s="237"/>
    </row>
    <row r="4" spans="1:16" ht="20.100000000000001" customHeight="1">
      <c r="A4" s="354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369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369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Daniel Wehrhoff</cp:lastModifiedBy>
  <cp:lastPrinted>2015-03-20T22:59:10Z</cp:lastPrinted>
  <dcterms:created xsi:type="dcterms:W3CDTF">2015-01-15T05:25:41Z</dcterms:created>
  <dcterms:modified xsi:type="dcterms:W3CDTF">2019-06-12T09:19:11Z</dcterms:modified>
</cp:coreProperties>
</file>