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DW\Archiv\Internetseite\"/>
    </mc:Choice>
  </mc:AlternateContent>
  <bookViews>
    <workbookView xWindow="240" yWindow="855" windowWidth="15600" windowHeight="6690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62913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3" i="18" l="1"/>
  <c r="D32" i="18"/>
  <c r="H31" i="18" s="1"/>
  <c r="E63" i="18"/>
  <c r="G63" i="18"/>
  <c r="J63" i="18"/>
  <c r="M63" i="18"/>
  <c r="I53" i="18"/>
  <c r="N53" i="18"/>
  <c r="E53" i="18"/>
  <c r="J53" i="18"/>
  <c r="F63" i="18"/>
  <c r="K63" i="18"/>
  <c r="D22" i="18"/>
  <c r="F21" i="18" s="1"/>
  <c r="G53" i="18"/>
  <c r="M53" i="18"/>
  <c r="I63" i="18"/>
  <c r="N63" i="18"/>
  <c r="N21" i="18"/>
  <c r="I21" i="18"/>
  <c r="L21" i="18"/>
  <c r="L31" i="18"/>
  <c r="G31" i="18"/>
  <c r="M31" i="18"/>
  <c r="I31" i="18"/>
  <c r="H53" i="18"/>
  <c r="H63" i="18"/>
  <c r="D24" i="15"/>
  <c r="C23" i="15"/>
  <c r="G21" i="18" l="1"/>
  <c r="M21" i="18"/>
  <c r="N31" i="18"/>
  <c r="K21" i="18"/>
  <c r="J21" i="18"/>
  <c r="D56" i="18"/>
  <c r="J55" i="18" s="1"/>
  <c r="F31" i="18"/>
  <c r="K31" i="18"/>
  <c r="E31" i="18" s="1"/>
  <c r="J31" i="18"/>
  <c r="H21" i="18"/>
  <c r="E21" i="18" s="1"/>
  <c r="D66" i="18"/>
  <c r="K65" i="18" s="1"/>
  <c r="K55" i="18"/>
  <c r="F55" i="18"/>
  <c r="H55" i="18"/>
  <c r="M55" i="18"/>
  <c r="I55" i="18"/>
  <c r="F69" i="17"/>
  <c r="G69" i="17"/>
  <c r="H69" i="17"/>
  <c r="I69" i="17"/>
  <c r="J69" i="17"/>
  <c r="K69" i="17"/>
  <c r="L69" i="17"/>
  <c r="M69" i="17"/>
  <c r="N69" i="17"/>
  <c r="E69" i="17"/>
  <c r="N55" i="18" l="1"/>
  <c r="G55" i="18"/>
  <c r="M65" i="18"/>
  <c r="L55" i="18"/>
  <c r="E55" i="18" s="1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E65" i="18" l="1"/>
  <c r="X12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21" i="7" s="1"/>
  <c r="H21" i="4"/>
  <c r="V21" i="7" s="1"/>
  <c r="G21" i="4"/>
  <c r="U21" i="7" s="1"/>
  <c r="F21" i="4"/>
  <c r="T21" i="7" s="1"/>
  <c r="E21" i="4"/>
  <c r="S21" i="7" s="1"/>
  <c r="D21" i="4"/>
  <c r="R21" i="7" s="1"/>
  <c r="X21" i="7" s="1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L26" i="7" l="1"/>
  <c r="O26" i="7"/>
  <c r="O25" i="7"/>
  <c r="K26" i="7"/>
  <c r="K25" i="7"/>
  <c r="F24" i="7"/>
  <c r="F12" i="7"/>
  <c r="N25" i="7"/>
  <c r="J25" i="7"/>
  <c r="L25" i="7"/>
  <c r="P26" i="7"/>
  <c r="P25" i="7"/>
  <c r="H26" i="7"/>
  <c r="H25" i="7"/>
  <c r="F20" i="7"/>
  <c r="F14" i="7"/>
  <c r="J26" i="7"/>
  <c r="F19" i="7"/>
  <c r="M26" i="7"/>
  <c r="M25" i="7"/>
  <c r="I26" i="7"/>
  <c r="I25" i="7"/>
  <c r="F26" i="7"/>
  <c r="F21" i="7"/>
  <c r="F13" i="7"/>
  <c r="N26" i="7"/>
  <c r="F25" i="7"/>
  <c r="K13" i="7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L12" i="7"/>
  <c r="H12" i="7"/>
  <c r="I11" i="7"/>
  <c r="F23" i="7"/>
  <c r="F17" i="7"/>
  <c r="F15" i="7"/>
  <c r="F22" i="7"/>
  <c r="F18" i="7"/>
  <c r="F16" i="7"/>
  <c r="F11" i="7"/>
  <c r="M8" i="4"/>
  <c r="M7" i="4"/>
  <c r="D6" i="15"/>
  <c r="D6" i="7"/>
  <c r="Q25" i="7" l="1"/>
  <c r="Q26" i="7"/>
  <c r="Q18" i="7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<sst xmlns="http://schemas.openxmlformats.org/spreadsheetml/2006/main" count="1379" uniqueCount="680">
  <si>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</si>
  <si>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</si>
  <si>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</si>
  <si>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</si>
  <si>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</si>
  <si>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</si>
  <si>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</si>
  <si>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</si>
  <si>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</si>
  <si>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</si>
  <si>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</si>
  <si>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</si>
  <si>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</si>
  <si>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</si>
  <si>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</si>
  <si>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</si>
  <si>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</si>
  <si>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</si>
  <si>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</si>
  <si>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</si>
  <si>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</si>
  <si>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</si>
  <si>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</si>
  <si>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</si>
  <si>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</si>
  <si>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</si>
  <si>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</si>
  <si>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</si>
  <si>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</si>
  <si>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</si>
  <si>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</si>
  <si>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</si>
  <si>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</si>
  <si>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</si>
  <si>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</si>
  <si>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</si>
  <si>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</si>
  <si>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</si>
  <si>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</si>
  <si>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</si>
  <si>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</si>
  <si>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</si>
  <si>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</si>
  <si>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</si>
  <si>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</si>
  <si>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</si>
  <si>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</si>
  <si>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</si>
  <si>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</si>
  <si>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</si>
  <si>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</si>
  <si>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</si>
  <si>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</si>
  <si>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</si>
  <si>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</si>
  <si>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</si>
  <si>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</si>
  <si>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</si>
  <si>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</si>
  <si>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</si>
  <si>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</si>
  <si>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</si>
  <si>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</si>
  <si>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</si>
  <si>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</si>
  <si>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</si>
  <si>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</si>
  <si>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</si>
  <si>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</si>
  <si>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</si>
  <si>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</si>
  <si>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</si>
  <si>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</si>
  <si>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</si>
  <si>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</si>
  <si>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</si>
  <si>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</si>
  <si>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</si>
  <si>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</si>
  <si>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</si>
  <si>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</si>
  <si>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</si>
  <si>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</si>
  <si>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</si>
  <si>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</si>
  <si>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</si>
  <si>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</si>
  <si>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</si>
  <si>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</si>
  <si>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</si>
  <si>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</si>
  <si>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</si>
  <si>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</si>
  <si>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</si>
  <si>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</si>
  <si>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</si>
  <si>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</si>
  <si>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</si>
  <si>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</si>
  <si>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</si>
  <si>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</si>
  <si>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</si>
  <si>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</si>
  <si>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</si>
  <si>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</si>
  <si>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</si>
  <si>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</si>
  <si>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</si>
  <si>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</si>
  <si>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</si>
  <si>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</si>
  <si>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</si>
  <si>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</si>
  <si>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</si>
  <si>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</si>
  <si>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</si>
  <si>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</si>
  <si>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</si>
  <si>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</si>
  <si>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</si>
  <si>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</si>
  <si>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</si>
  <si>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</si>
  <si>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</si>
  <si>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</si>
  <si>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</si>
  <si>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</si>
  <si>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</si>
  <si>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</si>
  <si>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</si>
  <si>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</si>
  <si>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</si>
  <si>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</si>
  <si>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</si>
  <si>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</si>
  <si>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</si>
  <si>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</si>
  <si>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</si>
  <si>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</si>
  <si>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</si>
  <si>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</si>
  <si>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</si>
  <si>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</si>
  <si>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</si>
  <si>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</si>
  <si>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</si>
  <si>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</si>
  <si>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</si>
  <si>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</si>
  <si>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</si>
  <si>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</si>
  <si>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</si>
  <si>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</si>
  <si>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</si>
  <si>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</si>
  <si>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</si>
  <si>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</si>
  <si>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</si>
  <si>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</si>
  <si>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</si>
  <si>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</si>
  <si>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</si>
  <si>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</si>
  <si>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</si>
  <si>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</si>
  <si>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</si>
  <si>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</si>
  <si>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</si>
  <si>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</si>
  <si>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</si>
  <si>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</si>
  <si>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</si>
  <si>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</si>
  <si>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</si>
  <si>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</si>
  <si>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</si>
  <si>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</si>
  <si>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</si>
  <si>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</si>
  <si>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</si>
  <si>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</si>
  <si>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</si>
  <si>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</si>
  <si>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</si>
  <si>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</si>
  <si>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</si>
  <si>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</si>
  <si>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</si>
  <si>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</si>
  <si>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</si>
  <si>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</si>
  <si>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</si>
  <si>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</si>
  <si>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</si>
  <si>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</si>
  <si>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</si>
  <si>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</si>
  <si>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</si>
  <si>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</si>
  <si>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</si>
  <si>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</si>
  <si>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</si>
  <si>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</si>
  <si>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</si>
  <si>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</si>
  <si>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</si>
  <si>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</si>
  <si>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</si>
  <si>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</si>
  <si>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</si>
  <si>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</si>
  <si>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</si>
  <si>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</si>
  <si>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</si>
  <si>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</si>
  <si>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</si>
  <si>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</si>
  <si>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</si>
  <si>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</si>
  <si>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</si>
  <si>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</si>
  <si>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</si>
  <si>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</si>
  <si>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</si>
  <si>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</si>
  <si>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</si>
  <si>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</si>
  <si>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</si>
  <si>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</si>
  <si>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</si>
  <si>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</si>
  <si>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</si>
  <si>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</si>
  <si>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</si>
  <si>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</si>
  <si>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</si>
  <si>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</si>
  <si>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</si>
  <si>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</si>
  <si>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</si>
  <si>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</si>
  <si>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</si>
  <si>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</si>
  <si>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</si>
  <si>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</si>
  <si>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</si>
  <si>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</si>
  <si>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</si>
  <si>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</si>
  <si>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</si>
  <si>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</si>
  <si>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</si>
  <si>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</si>
  <si>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</si>
  <si>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</si>
  <si>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</si>
  <si>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</si>
  <si>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</si>
  <si>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</si>
  <si>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</si>
  <si>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</si>
  <si>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</si>
  <si>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</si>
  <si>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</si>
  <si>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</si>
  <si>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</si>
  <si>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</si>
  <si>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</si>
  <si>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</si>
  <si>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</si>
  <si>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</si>
  <si>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</si>
  <si>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</si>
  <si>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</si>
  <si>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</si>
  <si>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</si>
  <si>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</si>
  <si>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</si>
  <si>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</si>
  <si>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</si>
  <si>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</si>
  <si>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</si>
  <si>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</si>
  <si>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</si>
  <si>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</si>
  <si>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</si>
  <si>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</si>
  <si>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</si>
  <si>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</si>
  <si>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</si>
  <si>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</si>
  <si>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</si>
  <si>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</si>
  <si>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</si>
  <si>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</si>
  <si>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</si>
  <si>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</si>
  <si>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</si>
  <si>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</si>
  <si>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</si>
  <si>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</si>
  <si>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</si>
  <si>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</si>
  <si>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</si>
  <si>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</si>
  <si>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</si>
  <si>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</si>
  <si>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</si>
  <si>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</si>
  <si>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</si>
  <si>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</si>
  <si>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</si>
  <si>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</si>
  <si>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</si>
  <si>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</si>
  <si>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</si>
  <si>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</si>
  <si>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</si>
  <si>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</si>
  <si>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</si>
  <si>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</si>
  <si>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</si>
  <si>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</si>
  <si>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</si>
  <si>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</si>
  <si>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</si>
  <si>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</si>
  <si>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</si>
  <si>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</si>
  <si>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</si>
  <si>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</si>
  <si>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</si>
  <si>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</si>
  <si>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</si>
  <si>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</si>
  <si>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</si>
  <si>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</si>
  <si>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</si>
  <si>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</si>
  <si>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</si>
  <si>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</si>
  <si>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</si>
  <si>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</si>
  <si>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</si>
  <si>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</si>
  <si>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</si>
  <si>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</si>
  <si>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</si>
  <si>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</si>
  <si>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</si>
  <si>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</si>
  <si>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</si>
  <si>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</si>
  <si>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</si>
  <si>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</si>
  <si>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</si>
  <si>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</si>
  <si>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</si>
  <si>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</si>
  <si>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</si>
  <si>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</si>
  <si>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</si>
  <si>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</si>
  <si>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</si>
  <si>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</si>
  <si>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</si>
  <si>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</si>
  <si>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</si>
  <si>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</si>
  <si>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</si>
  <si>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</si>
  <si>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</si>
  <si>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</si>
  <si>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</si>
  <si>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</si>
  <si>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</si>
  <si>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</si>
  <si>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</si>
  <si>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</si>
  <si>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</si>
  <si>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</si>
  <si>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</si>
  <si>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</si>
  <si>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</si>
  <si>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</si>
  <si>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</si>
  <si>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</si>
  <si>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</si>
  <si>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</si>
  <si>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</si>
  <si>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</si>
  <si>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</si>
  <si>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</si>
  <si>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</si>
  <si>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</si>
  <si>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</si>
  <si>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</si>
  <si>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</si>
  <si>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</si>
  <si>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</si>
  <si>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</si>
  <si>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</si>
  <si>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</si>
  <si>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</si>
  <si>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</si>
  <si>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</si>
  <si>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</si>
  <si>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</si>
  <si>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</si>
  <si>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</si>
  <si>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</si>
  <si>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</si>
  <si>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</si>
  <si>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</si>
  <si>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</si>
  <si>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</si>
  <si>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</si>
  <si>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</si>
  <si>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</si>
  <si>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</si>
  <si>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</si>
  <si>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</si>
  <si>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</si>
  <si>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</si>
  <si>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</si>
  <si>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</si>
  <si>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</si>
  <si>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</si>
  <si>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</si>
  <si>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</si>
  <si>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</si>
  <si>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</si>
  <si>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</si>
  <si>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</si>
  <si>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</si>
  <si>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</si>
  <si>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</si>
  <si>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</si>
  <si>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</si>
  <si>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</si>
  <si>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</si>
  <si>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</si>
  <si>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</si>
  <si>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</si>
  <si>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</si>
  <si>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</si>
  <si>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</si>
  <si>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</si>
  <si>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</si>
  <si>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</si>
  <si>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</si>
  <si>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</si>
  <si>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</si>
  <si>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</si>
  <si>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</si>
  <si>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</si>
  <si>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</si>
  <si>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</si>
  <si>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</si>
  <si>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</si>
  <si>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</si>
  <si>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</si>
  <si>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</si>
  <si>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</si>
  <si>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</si>
  <si>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</si>
  <si>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</si>
  <si>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</si>
  <si>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</si>
  <si>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</si>
  <si>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</si>
  <si>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</si>
  <si>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</si>
  <si>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</si>
  <si>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</si>
  <si>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</si>
  <si>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</si>
  <si>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</si>
  <si>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</si>
  <si>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</si>
  <si>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</si>
  <si>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</si>
  <si>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</si>
  <si>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</si>
  <si>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</si>
  <si>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</si>
  <si>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</si>
  <si>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</si>
  <si>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</si>
  <si>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</si>
  <si>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</si>
  <si>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</si>
  <si>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</si>
  <si>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</si>
  <si>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</si>
  <si>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</si>
  <si>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</si>
  <si>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</si>
  <si>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</si>
  <si>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</si>
  <si>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</si>
  <si>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</si>
  <si>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</si>
  <si>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</si>
  <si>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</si>
  <si>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</si>
  <si>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</si>
  <si>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</si>
  <si>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</si>
  <si>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</si>
  <si>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</si>
  <si>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</si>
  <si>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</si>
  <si>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</si>
  <si>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</si>
  <si>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</si>
  <si>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</si>
  <si>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</si>
  <si>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</si>
  <si>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</si>
  <si>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</si>
  <si>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</si>
  <si>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</si>
  <si>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</si>
  <si>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</si>
  <si>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</si>
  <si>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</si>
  <si>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</si>
  <si>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</si>
  <si>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</si>
  <si>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</si>
  <si>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</si>
  <si>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</si>
  <si>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</si>
  <si>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</si>
  <si>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</si>
  <si>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</si>
  <si>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</si>
  <si>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</si>
  <si>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</si>
  <si>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</si>
  <si>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</si>
  <si>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</si>
  <si>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</si>
  <si>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</si>
  <si>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</si>
  <si>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</si>
  <si>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</si>
  <si>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</si>
  <si>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</si>
  <si>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</si>
  <si>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</si>
  <si>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</si>
  <si>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</si>
  <si>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</si>
  <si>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</si>
  <si>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</si>
  <si>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</si>
  <si>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</si>
  <si>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</si>
  <si>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</si>
  <si>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</si>
  <si>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</si>
  <si>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</si>
  <si>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</si>
  <si>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</si>
  <si>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</si>
  <si>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</si>
  <si>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</si>
  <si>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</si>
  <si>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</si>
  <si>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</si>
  <si>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</si>
  <si>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</si>
  <si>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</si>
  <si>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</si>
  <si>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</si>
  <si>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</si>
  <si>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</si>
  <si>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</si>
  <si>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</si>
  <si>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</si>
  <si>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</si>
  <si>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</si>
  <si>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</si>
  <si>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</si>
  <si>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</si>
  <si>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</si>
  <si>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</si>
  <si>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</si>
  <si>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</si>
  <si>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</si>
  <si>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</si>
  <si>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</si>
  <si>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</si>
  <si>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</si>
  <si>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</si>
  <si>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</si>
  <si>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</si>
  <si>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</si>
  <si>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</si>
  <si>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</si>
  <si>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</si>
  <si>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</si>
  <si>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</si>
  <si>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</si>
  <si>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</si>
  <si>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</si>
  <si>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</si>
  <si>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</si>
  <si>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</si>
  <si>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</si>
  <si>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</si>
  <si>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</si>
  <si>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</si>
  <si>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</si>
  <si>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</si>
  <si>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</si>
  <si>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</si>
  <si>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</si>
  <si>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</si>
  <si>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</si>
  <si>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</si>
  <si>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</si>
  <si>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</si>
  <si>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</si>
  <si>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</si>
  <si>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</si>
  <si>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</si>
  <si>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</si>
  <si>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</si>
  <si>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</si>
  <si>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</si>
  <si>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</si>
  <si>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</si>
  <si>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</si>
  <si>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</si>
  <si>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</si>
  <si>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</si>
  <si>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</si>
  <si>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</si>
  <si>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</si>
  <si>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</si>
  <si>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</si>
  <si>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</si>
  <si>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</si>
  <si>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</si>
  <si>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</si>
  <si>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</si>
  <si>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</si>
  <si>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</si>
  <si>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</si>
  <si>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</si>
  <si>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</si>
  <si>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</si>
  <si>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</si>
  <si>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</si>
  <si>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Stadtwerke Burgdorf Netz GmbH</t>
  </si>
  <si>
    <t>98701054000004</t>
  </si>
  <si>
    <t>Vor dem Hannoverschen Tor 12</t>
  </si>
  <si>
    <t>Burgdorf</t>
  </si>
  <si>
    <t>Team Netznutzungsmanagement</t>
  </si>
  <si>
    <t>sw.burgdorf@edi-gas.de</t>
  </si>
  <si>
    <t>0361/564-2320</t>
  </si>
  <si>
    <t>DE_GBA04</t>
  </si>
  <si>
    <t>DE_GBD04</t>
  </si>
  <si>
    <t>DE_GBH04</t>
  </si>
  <si>
    <t>DE_GGA04</t>
  </si>
  <si>
    <t>DE_GGB04</t>
  </si>
  <si>
    <t>DE_GHA04</t>
  </si>
  <si>
    <t>DE_GHD04</t>
  </si>
  <si>
    <t>DE_GKO04</t>
  </si>
  <si>
    <t>DE_GMF04</t>
  </si>
  <si>
    <t>DE_GMK04</t>
  </si>
  <si>
    <t>DE_GPD04</t>
  </si>
  <si>
    <t>DE_GWA04</t>
  </si>
  <si>
    <t xml:space="preserve"> NI  </t>
  </si>
  <si>
    <t>Netz Burgdorf L-Gas</t>
  </si>
  <si>
    <t>Netz Burgdorf H-Gas</t>
  </si>
  <si>
    <t>GASPOOLNH7010541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</si>
</sst>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49" fontId="0" fillId="33" borderId="17" xfId="0" applyNumberFormat="1" applyFill="1" applyBorder="1" applyAlignment="1" applyProtection="1">
      <alignment horizont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5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339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42191</v>
      </c>
      <c r="E29" s="8"/>
      <c r="F29" s="8"/>
      <c r="G29" s="8"/>
      <c r="H29" s="8"/>
    </row>
    <row r="30" spans="2:12">
      <c r="B30" s="21" t="s">
        <v>349</v>
      </c>
      <c r="C30" s="328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29" sqref="D29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656</v>
      </c>
      <c r="D4" s="27">
        <v>42675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655</v>
      </c>
      <c r="D6" s="27">
        <v>42675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40" t="s">
        <v>658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659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31303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660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661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662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663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2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398</v>
      </c>
      <c r="E27" s="39"/>
      <c r="F27" s="11"/>
    </row>
    <row r="28" spans="1:15">
      <c r="B28" s="15"/>
      <c r="C28" s="65" t="s">
        <v>504</v>
      </c>
      <c r="D28" s="48" t="str">
        <f>IF(D27&lt;&gt;C28,VLOOKUP(D27,$C$29:$D$48,2,FALSE),C28)</f>
        <v>Netz Burgdorf H-Gas</v>
      </c>
      <c r="E28" s="38"/>
      <c r="F28" s="11"/>
      <c r="G28" s="2"/>
    </row>
    <row r="29" spans="1:15">
      <c r="B29" s="15"/>
      <c r="C29" s="22" t="s">
        <v>397</v>
      </c>
      <c r="D29" s="45" t="s">
        <v>677</v>
      </c>
      <c r="E29" s="40"/>
      <c r="F29" s="11"/>
      <c r="G29" s="2"/>
    </row>
    <row r="30" spans="1:15">
      <c r="B30" s="15"/>
      <c r="C30" s="22" t="s">
        <v>398</v>
      </c>
      <c r="D30" s="45" t="s">
        <v>678</v>
      </c>
      <c r="E30" s="40"/>
      <c r="F30" s="47"/>
      <c r="G30" s="2"/>
    </row>
    <row r="31" spans="1:15">
      <c r="B31" s="15"/>
      <c r="C31" s="22" t="s">
        <v>423</v>
      </c>
      <c r="D31" s="46"/>
      <c r="E31" s="40"/>
      <c r="F31" s="47"/>
      <c r="G31" s="2"/>
    </row>
    <row r="32" spans="1:15">
      <c r="B32" s="15"/>
      <c r="C32" s="22" t="s">
        <v>424</v>
      </c>
      <c r="D32" s="46"/>
      <c r="E32" s="40"/>
      <c r="F32" s="47"/>
      <c r="G32" s="2"/>
    </row>
    <row r="33" spans="2:7">
      <c r="B33" s="15"/>
      <c r="C33" s="22" t="s">
        <v>425</v>
      </c>
      <c r="D33" s="45"/>
      <c r="E33" s="40"/>
      <c r="F33" s="47"/>
      <c r="G33" s="2"/>
    </row>
    <row r="34" spans="2:7">
      <c r="B34" s="15"/>
      <c r="C34" s="22" t="s">
        <v>426</v>
      </c>
      <c r="D34" s="46"/>
      <c r="E34" s="40"/>
      <c r="F34" s="47"/>
      <c r="G34" s="2"/>
    </row>
    <row r="35" spans="2:7">
      <c r="B35" s="15"/>
      <c r="C35" s="22" t="s">
        <v>427</v>
      </c>
      <c r="D35" s="46"/>
      <c r="E35" s="40"/>
      <c r="F35" s="47"/>
      <c r="G35" s="2"/>
    </row>
    <row r="36" spans="2:7">
      <c r="B36" s="15"/>
      <c r="C36" s="22" t="s">
        <v>428</v>
      </c>
      <c r="D36" s="46"/>
      <c r="E36" s="40"/>
      <c r="F36" s="47"/>
      <c r="G36" s="2"/>
    </row>
    <row r="37" spans="2:7">
      <c r="B37" s="15"/>
      <c r="C37" s="22" t="s">
        <v>429</v>
      </c>
      <c r="D37" s="46"/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7" priority="2">
      <formula>IF(CELL("Zeile",D29)&lt;$D$25+CELL("Zeile",$D$29),1,0)</formula>
    </cfRule>
  </conditionalFormatting>
  <conditionalFormatting sqref="D30:D48">
    <cfRule type="expression" dxfId="56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22" zoomScale="80" zoomScaleNormal="80" workbookViewId="0">
      <selection activeCell="D18" sqref="D1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Stadtwerke Burgdorf Netz GmbH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8" t="str">
        <f>Netzbetreiber!D28</f>
        <v>Netz Burgdorf H-Gas</v>
      </c>
      <c r="E6" s="15"/>
      <c r="H6" s="67"/>
      <c r="I6" s="67"/>
      <c r="J6" s="67"/>
      <c r="K6" s="67"/>
    </row>
    <row r="7" spans="2:15" ht="15" customHeight="1">
      <c r="B7" s="22"/>
      <c r="C7" s="60" t="s">
        <v>490</v>
      </c>
      <c r="D7" s="329" t="str">
        <f>Netzbetreiber!$D$11</f>
        <v>98701054000004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42675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72" t="s">
        <v>256</v>
      </c>
      <c r="I11" s="272" t="s">
        <v>259</v>
      </c>
      <c r="J11" s="272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617</v>
      </c>
      <c r="D13" s="33" t="s">
        <v>618</v>
      </c>
      <c r="E13" s="15"/>
      <c r="H13" s="272" t="s">
        <v>618</v>
      </c>
      <c r="I13" s="272" t="s">
        <v>619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433</v>
      </c>
      <c r="D15" s="42" t="s">
        <v>337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679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370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577</v>
      </c>
      <c r="I19" s="271" t="s">
        <v>491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492</v>
      </c>
      <c r="I20" s="271" t="s">
        <v>493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615</v>
      </c>
      <c r="D22" s="49" t="s">
        <v>611</v>
      </c>
      <c r="E22" s="15"/>
      <c r="H22" s="268" t="s">
        <v>611</v>
      </c>
      <c r="I22" s="268" t="s">
        <v>612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613</v>
      </c>
      <c r="E23" s="15"/>
      <c r="H23" s="268" t="s">
        <v>614</v>
      </c>
      <c r="I23" s="8" t="s">
        <v>610</v>
      </c>
      <c r="J23" s="8"/>
      <c r="K23" s="8"/>
      <c r="L23" s="269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8" t="s">
        <v>613</v>
      </c>
      <c r="I24" s="268" t="s">
        <v>620</v>
      </c>
      <c r="J24" s="8"/>
      <c r="K24" s="8"/>
      <c r="L24" s="271" t="s">
        <v>621</v>
      </c>
      <c r="M24" s="271" t="s">
        <v>623</v>
      </c>
      <c r="N24" s="271" t="s">
        <v>622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372</v>
      </c>
      <c r="C26" s="6" t="s">
        <v>580</v>
      </c>
      <c r="D26" s="42" t="s">
        <v>136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624</v>
      </c>
      <c r="D27" s="42" t="s">
        <v>625</v>
      </c>
      <c r="E27" s="15"/>
      <c r="H27" s="298" t="s">
        <v>625</v>
      </c>
      <c r="I27" s="270" t="s">
        <v>626</v>
      </c>
      <c r="J27" s="270" t="s">
        <v>627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9">
        <v>1</v>
      </c>
      <c r="E28" s="15"/>
      <c r="H28" s="271" t="s">
        <v>628</v>
      </c>
      <c r="I28" s="271" t="s">
        <v>629</v>
      </c>
      <c r="J28" s="271" t="s">
        <v>630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300"/>
      <c r="E29" s="15"/>
      <c r="H29" s="271" t="s">
        <v>631</v>
      </c>
      <c r="I29" s="271" t="s">
        <v>632</v>
      </c>
      <c r="J29" s="271" t="s">
        <v>633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496</v>
      </c>
      <c r="C31" s="6" t="s">
        <v>579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634</v>
      </c>
      <c r="I32" s="271" t="s">
        <v>635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636</v>
      </c>
      <c r="I33" s="268" t="s">
        <v>631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551</v>
      </c>
      <c r="C35" s="24" t="s">
        <v>498</v>
      </c>
      <c r="D35" s="42">
        <v>15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552</v>
      </c>
      <c r="C37" s="5" t="s">
        <v>367</v>
      </c>
      <c r="D37" s="34">
        <v>1500000</v>
      </c>
      <c r="E37" s="15" t="s">
        <v>509</v>
      </c>
      <c r="I37" s="268"/>
      <c r="J37" s="268"/>
      <c r="K37" s="268"/>
      <c r="L37" s="268"/>
      <c r="M37" s="269"/>
    </row>
    <row r="38" spans="2:39" customFormat="1" ht="15" customHeight="1">
      <c r="C38" s="8" t="s">
        <v>494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553</v>
      </c>
      <c r="C40" s="5" t="s">
        <v>368</v>
      </c>
      <c r="D40" s="36">
        <v>500</v>
      </c>
      <c r="E40" s="15" t="s">
        <v>543</v>
      </c>
      <c r="H40" s="67"/>
      <c r="I40" s="67"/>
      <c r="J40" s="67"/>
      <c r="K40" s="67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60" t="s">
        <v>578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45" t="s">
        <v>139</v>
      </c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  <row r="60" spans="3:4" ht="18" customHeight="1">
      <c r="C60" s="22" t="s">
        <v>600</v>
      </c>
      <c r="D60" s="45"/>
    </row>
    <row r="61" spans="3:4" ht="18" customHeight="1">
      <c r="C61" s="22" t="s">
        <v>601</v>
      </c>
      <c r="D61" s="45"/>
    </row>
    <row r="62" spans="3:4" ht="18" customHeight="1">
      <c r="C62" s="22" t="s">
        <v>602</v>
      </c>
      <c r="D62" s="45"/>
    </row>
  </sheetData>
  <sheetProtection sheet="1" objects="1" scenarios="1"/>
  <conditionalFormatting sqref="D15">
    <cfRule type="expression" dxfId="55" priority="21">
      <formula>IF($D$11="Gaspool",1,0)</formula>
    </cfRule>
  </conditionalFormatting>
  <conditionalFormatting sqref="D16">
    <cfRule type="expression" dxfId="54" priority="18">
      <formula>IF($D$11="NCG",1,0)</formula>
    </cfRule>
  </conditionalFormatting>
  <conditionalFormatting sqref="D48:D62">
    <cfRule type="expression" dxfId="53" priority="17">
      <formula>IF(CELL("Zeile",D48)&lt;$D$46+CELL("Zeile",$D$48),1,0)</formula>
    </cfRule>
  </conditionalFormatting>
  <conditionalFormatting sqref="D49:D62">
    <cfRule type="expression" dxfId="52" priority="16">
      <formula>IF(CELL(D49)&lt;$D$36+27,1,0)</formula>
    </cfRule>
  </conditionalFormatting>
  <conditionalFormatting sqref="D23">
    <cfRule type="expression" dxfId="51" priority="15">
      <formula>IF($D$22=$H$22,1,0)</formula>
    </cfRule>
  </conditionalFormatting>
  <conditionalFormatting sqref="D31">
    <cfRule type="expression" dxfId="50" priority="4">
      <formula>IF($D$18="synthetisch",1,0)</formula>
    </cfRule>
  </conditionalFormatting>
  <conditionalFormatting sqref="D28">
    <cfRule type="expression" dxfId="49" priority="2">
      <formula>IF(AND($D$27=$I$27,$D$26=$H$26),1,0)</formula>
    </cfRule>
  </conditionalFormatting>
  <conditionalFormatting sqref="D26:D28">
    <cfRule type="expression" dxfId="48" priority="5">
      <formula>IF($D$18="analytisch",1,0)</formula>
    </cfRule>
  </conditionalFormatting>
  <conditionalFormatting sqref="D27">
    <cfRule type="expression" dxfId="47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43" zoomScaleNormal="100" workbookViewId="0">
      <selection activeCell="G72" sqref="G72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>
      <c r="B4" s="130"/>
      <c r="C4" s="56" t="s">
        <v>448</v>
      </c>
      <c r="D4" s="57"/>
      <c r="E4" s="331" t="str">
        <f>Netzbetreiber!D9</f>
        <v>Stadtwerke Burgdorf Netz GmbH</v>
      </c>
      <c r="F4" s="331"/>
      <c r="G4" s="331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Netzbetreiber!D28</f>
        <v>Netz Burgdorf H-Gas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30" t="str">
        <f>Netzbetreiber!D11</f>
        <v>98701054000004</v>
      </c>
      <c r="F6" s="330"/>
      <c r="G6" s="3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42675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2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1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3" t="str">
        <f>INDEX('SLP-Verfahren'!D48:D62,'SLP-Temp-Gebiet #01'!F10)</f>
        <v>DWD</v>
      </c>
      <c r="G11" s="333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3" t="s">
        <v>586</v>
      </c>
      <c r="D13" s="343"/>
      <c r="E13" s="343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4" t="s">
        <v>451</v>
      </c>
      <c r="D14" s="344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32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44" t="s">
        <v>389</v>
      </c>
      <c r="D15" s="344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139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372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526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528</v>
      </c>
      <c r="D21" s="153" t="s">
        <v>518</v>
      </c>
      <c r="E21" s="282">
        <f>1-SUMPRODUCT(F19:N19,F21:N21)</f>
        <v>1</v>
      </c>
      <c r="F21" s="282">
        <f>ROUND(F22/$D$22,4)</f>
        <v>1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539</v>
      </c>
      <c r="D22" s="185">
        <f>SUMPRODUCT(E22:N22,E19:N19)</f>
        <v>1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9" t="str">
        <f>O15</f>
        <v>DWD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523</v>
      </c>
      <c r="D24" s="187"/>
      <c r="E24" s="156" t="s">
        <v>583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517</v>
      </c>
      <c r="D25" s="187"/>
      <c r="E25" s="160" t="s">
        <v>365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529</v>
      </c>
      <c r="D31" s="185" t="s">
        <v>254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535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351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538</v>
      </c>
      <c r="D46" s="200" t="s">
        <v>536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364</v>
      </c>
      <c r="K46" s="197"/>
      <c r="L46" s="197"/>
      <c r="M46" s="197"/>
      <c r="N46" s="197"/>
      <c r="O46" s="198"/>
    </row>
    <row r="47" spans="2:28">
      <c r="B47" s="192"/>
      <c r="C47" s="199" t="s">
        <v>350</v>
      </c>
      <c r="D47" s="200" t="s">
        <v>536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364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528</v>
      </c>
      <c r="D55" s="153" t="s">
        <v>518</v>
      </c>
      <c r="E55" s="280">
        <f>1-SUMPRODUCT(F53:N53,F55:N55)</f>
        <v>1</v>
      </c>
      <c r="F55" s="280">
        <f>ROUND(F56/$D$56,4)</f>
        <v>1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539</v>
      </c>
      <c r="D56" s="185">
        <f>SUMPRODUCT(E56:N56,E53:N53)</f>
        <v>1</v>
      </c>
      <c r="E56" s="281">
        <f>E22</f>
        <v>1</v>
      </c>
      <c r="F56" s="281">
        <f t="shared" ref="F56:N56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DWD</v>
      </c>
      <c r="F57" s="156" t="str">
        <f t="shared" ref="F57:N57" si="7">F23</f>
        <v>DWD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523</v>
      </c>
      <c r="D58" s="187"/>
      <c r="E58" s="156" t="str">
        <f>E24</f>
        <v>ABC-St.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517</v>
      </c>
      <c r="D59" s="187"/>
      <c r="E59" s="160" t="str">
        <f>E25</f>
        <v>xxxxx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529</v>
      </c>
      <c r="D65" s="185" t="s">
        <v>254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12">ROUND(G66/$D$66,4)</f>
        <v>0.1333</v>
      </c>
      <c r="H65" s="280">
        <f t="shared" si="12"/>
        <v>6.6699999999999995E-2</v>
      </c>
      <c r="I65" s="280">
        <f t="shared" si="12"/>
        <v>0</v>
      </c>
      <c r="J65" s="280">
        <f t="shared" si="12"/>
        <v>0</v>
      </c>
      <c r="K65" s="280">
        <f t="shared" si="12"/>
        <v>0</v>
      </c>
      <c r="L65" s="280">
        <f t="shared" si="12"/>
        <v>0</v>
      </c>
      <c r="M65" s="280">
        <f t="shared" si="12"/>
        <v>0</v>
      </c>
      <c r="N65" s="280">
        <f t="shared" si="12"/>
        <v>0</v>
      </c>
      <c r="O65" s="184"/>
    </row>
    <row r="66" spans="2:15">
      <c r="B66" s="182"/>
      <c r="C66" s="183" t="s">
        <v>535</v>
      </c>
      <c r="D66" s="185">
        <f>SUMPRODUCT(E66:N66,E63:N63)</f>
        <v>1.875</v>
      </c>
      <c r="E66" s="288">
        <f>E32</f>
        <v>1</v>
      </c>
      <c r="F66" s="288">
        <f t="shared" ref="F66:N66" si="13">F32</f>
        <v>0.5</v>
      </c>
      <c r="G66" s="288">
        <f t="shared" si="13"/>
        <v>0.25</v>
      </c>
      <c r="H66" s="288">
        <f t="shared" si="13"/>
        <v>0.125</v>
      </c>
      <c r="I66" s="288">
        <f t="shared" si="13"/>
        <v>0</v>
      </c>
      <c r="J66" s="288">
        <f t="shared" si="13"/>
        <v>0</v>
      </c>
      <c r="K66" s="288">
        <f t="shared" si="13"/>
        <v>0</v>
      </c>
      <c r="L66" s="288">
        <f t="shared" si="13"/>
        <v>0</v>
      </c>
      <c r="M66" s="288">
        <f t="shared" si="13"/>
        <v>0</v>
      </c>
      <c r="N66" s="288">
        <f t="shared" si="13"/>
        <v>0</v>
      </c>
      <c r="O66" s="184" t="s">
        <v>145</v>
      </c>
    </row>
    <row r="67" spans="2:15">
      <c r="B67" s="182"/>
      <c r="C67" s="186" t="s">
        <v>363</v>
      </c>
      <c r="D67" s="153" t="s">
        <v>362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607</v>
      </c>
      <c r="D69" s="153" t="s">
        <v>608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45" t="s">
        <v>582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5" priority="28">
      <formula>IF(E$20&lt;=$F$18,1,0)</formula>
    </cfRule>
  </conditionalFormatting>
  <conditionalFormatting sqref="E32:N36">
    <cfRule type="expression" dxfId="44" priority="27">
      <formula>IF(E$30&lt;=$F$28,1,0)</formula>
    </cfRule>
  </conditionalFormatting>
  <conditionalFormatting sqref="E26:F26">
    <cfRule type="expression" dxfId="43" priority="26">
      <formula>IF(E$20&lt;=$F$18,1,0)</formula>
    </cfRule>
  </conditionalFormatting>
  <conditionalFormatting sqref="E26:N26">
    <cfRule type="expression" dxfId="42" priority="25">
      <formula>IF(E$20&lt;=$F$18,1,0)</formula>
    </cfRule>
  </conditionalFormatting>
  <conditionalFormatting sqref="E56:N59">
    <cfRule type="expression" dxfId="41" priority="22">
      <formula>IF(E$54&lt;=$F$52,1,0)</formula>
    </cfRule>
  </conditionalFormatting>
  <conditionalFormatting sqref="E60:N60">
    <cfRule type="expression" dxfId="40" priority="21">
      <formula>IF(E$54&lt;=$F$52,1,0)</formula>
    </cfRule>
  </conditionalFormatting>
  <conditionalFormatting sqref="E66:N68">
    <cfRule type="expression" dxfId="39" priority="15">
      <formula>IF(E$64&lt;=$F$62,1,0)</formula>
    </cfRule>
  </conditionalFormatting>
  <conditionalFormatting sqref="E65:N68 E70:N70">
    <cfRule type="expression" dxfId="38" priority="13">
      <formula>IF(E$64&gt;$F$62,1,0)</formula>
    </cfRule>
  </conditionalFormatting>
  <conditionalFormatting sqref="E56:N60">
    <cfRule type="expression" dxfId="37" priority="12">
      <formula>IF(E$54&gt;$F$52,1,0)</formula>
    </cfRule>
  </conditionalFormatting>
  <conditionalFormatting sqref="E21:N26">
    <cfRule type="expression" dxfId="36" priority="11">
      <formula>IF(E$20&gt;$F$18,1,0)</formula>
    </cfRule>
  </conditionalFormatting>
  <conditionalFormatting sqref="E32:N36">
    <cfRule type="expression" dxfId="35" priority="10">
      <formula>IF(E$30&gt;$F$28,1,0)</formula>
    </cfRule>
  </conditionalFormatting>
  <conditionalFormatting sqref="H11 H8:H9">
    <cfRule type="expression" dxfId="34" priority="9">
      <formula>IF($F$9=1,1,0)</formula>
    </cfRule>
  </conditionalFormatting>
  <conditionalFormatting sqref="E55:N55">
    <cfRule type="expression" dxfId="33" priority="8">
      <formula>IF(E$54&gt;$F$52,1,0)</formula>
    </cfRule>
  </conditionalFormatting>
  <conditionalFormatting sqref="E31:N31">
    <cfRule type="expression" dxfId="32" priority="7">
      <formula>IF(E$30&gt;$F$28,1,0)</formula>
    </cfRule>
  </conditionalFormatting>
  <conditionalFormatting sqref="E70:N70">
    <cfRule type="expression" dxfId="31" priority="6">
      <formula>IF(E$64&lt;=$F$62,1,0)</formula>
    </cfRule>
  </conditionalFormatting>
  <conditionalFormatting sqref="H10">
    <cfRule type="expression" dxfId="30" priority="5">
      <formula>IF($F$9=1,1,0)</formula>
    </cfRule>
  </conditionalFormatting>
  <conditionalFormatting sqref="E69:N69">
    <cfRule type="expression" dxfId="29" priority="2">
      <formula>IF(E$64&lt;=$F$62,1,0)</formula>
    </cfRule>
  </conditionalFormatting>
  <conditionalFormatting sqref="E69:N69">
    <cfRule type="expression" dxfId="28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5:N26 E56:N60 E22:F22 I22:N22 F52 F62 G24:N24 G70:N70 E32:N34 E69:N6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>
      <c r="B4" s="130"/>
      <c r="C4" s="56" t="s">
        <v>448</v>
      </c>
      <c r="D4" s="57"/>
      <c r="E4" s="331" t="str">
        <f>Netzbetreiber!$D$9</f>
        <v>Stadtwerke Burgdorf Netz GmbH</v>
      </c>
      <c r="F4" s="130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Netzbetreiber!$D$28</f>
        <v>Netz Burgdorf H-Gas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30" t="str">
        <f>Netzbetreiber!$D$11</f>
        <v>98701054000004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Netzbetreiber!$D$6</f>
        <v>42675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2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2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3">
        <f>INDEX('SLP-Verfahren'!D48:D62,'SLP-Temp-Gebiet #02'!F10)</f>
        <v>0</v>
      </c>
      <c r="G11" s="333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3" t="s">
        <v>586</v>
      </c>
      <c r="D13" s="343"/>
      <c r="E13" s="343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4" t="s">
        <v>451</v>
      </c>
      <c r="D14" s="344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32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44" t="s">
        <v>389</v>
      </c>
      <c r="D15" s="344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530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372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9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29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526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528</v>
      </c>
      <c r="D21" s="153" t="s">
        <v>518</v>
      </c>
      <c r="E21" s="282">
        <f>1-SUMPRODUCT(F19:N19,F21:N21)</f>
        <v>0.5</v>
      </c>
      <c r="F21" s="282">
        <f>ROUND(F22/$D$22,4)</f>
        <v>0.5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539</v>
      </c>
      <c r="D22" s="185">
        <f>SUMPRODUCT(E22:N22,E19:N19)</f>
        <v>2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523</v>
      </c>
      <c r="D24" s="187"/>
      <c r="E24" s="156" t="s">
        <v>583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517</v>
      </c>
      <c r="D25" s="187"/>
      <c r="E25" s="160" t="s">
        <v>365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529</v>
      </c>
      <c r="D31" s="185" t="s">
        <v>254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535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351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538</v>
      </c>
      <c r="D46" s="200" t="s">
        <v>536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364</v>
      </c>
      <c r="K46" s="197"/>
      <c r="L46" s="197"/>
      <c r="M46" s="197"/>
      <c r="N46" s="197"/>
      <c r="O46" s="198"/>
    </row>
    <row r="47" spans="2:28">
      <c r="B47" s="192"/>
      <c r="C47" s="199" t="s">
        <v>350</v>
      </c>
      <c r="D47" s="200" t="s">
        <v>536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364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528</v>
      </c>
      <c r="D55" s="153" t="s">
        <v>518</v>
      </c>
      <c r="E55" s="280">
        <f>1-SUMPRODUCT(F53:N53,F55:N55)</f>
        <v>0.5</v>
      </c>
      <c r="F55" s="280">
        <f>ROUND(F56/$D$56,4)</f>
        <v>0.5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539</v>
      </c>
      <c r="D56" s="185">
        <f>SUMPRODUCT(E56:N56,E53:N53)</f>
        <v>2</v>
      </c>
      <c r="E56" s="281">
        <f>E22</f>
        <v>1</v>
      </c>
      <c r="F56" s="281">
        <f t="shared" ref="F56:N60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523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517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529</v>
      </c>
      <c r="D65" s="185" t="s">
        <v>254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8">ROUND(G66/$D$66,4)</f>
        <v>0.1333</v>
      </c>
      <c r="H65" s="280">
        <f t="shared" si="8"/>
        <v>6.6699999999999995E-2</v>
      </c>
      <c r="I65" s="280">
        <f t="shared" si="8"/>
        <v>0</v>
      </c>
      <c r="J65" s="280">
        <f t="shared" si="8"/>
        <v>0</v>
      </c>
      <c r="K65" s="280">
        <f t="shared" si="8"/>
        <v>0</v>
      </c>
      <c r="L65" s="280">
        <f t="shared" si="8"/>
        <v>0</v>
      </c>
      <c r="M65" s="280">
        <f t="shared" si="8"/>
        <v>0</v>
      </c>
      <c r="N65" s="280">
        <f t="shared" si="8"/>
        <v>0</v>
      </c>
      <c r="O65" s="184"/>
    </row>
    <row r="66" spans="2:15">
      <c r="B66" s="182"/>
      <c r="C66" s="183" t="s">
        <v>535</v>
      </c>
      <c r="D66" s="185">
        <f>SUMPRODUCT(E66:N66,E63:N63)</f>
        <v>1.875</v>
      </c>
      <c r="E66" s="288">
        <f>E32</f>
        <v>1</v>
      </c>
      <c r="F66" s="288">
        <f t="shared" ref="F66:N70" si="9">F32</f>
        <v>0.5</v>
      </c>
      <c r="G66" s="288">
        <f t="shared" si="9"/>
        <v>0.25</v>
      </c>
      <c r="H66" s="288">
        <f t="shared" si="9"/>
        <v>0.125</v>
      </c>
      <c r="I66" s="288">
        <f t="shared" si="9"/>
        <v>0</v>
      </c>
      <c r="J66" s="288">
        <f t="shared" si="9"/>
        <v>0</v>
      </c>
      <c r="K66" s="288">
        <f t="shared" si="9"/>
        <v>0</v>
      </c>
      <c r="L66" s="288">
        <f t="shared" si="9"/>
        <v>0</v>
      </c>
      <c r="M66" s="288">
        <f t="shared" si="9"/>
        <v>0</v>
      </c>
      <c r="N66" s="288">
        <f t="shared" si="9"/>
        <v>0</v>
      </c>
      <c r="O66" s="184" t="s">
        <v>145</v>
      </c>
    </row>
    <row r="67" spans="2:15">
      <c r="B67" s="182"/>
      <c r="C67" s="186" t="s">
        <v>363</v>
      </c>
      <c r="D67" s="153" t="s">
        <v>362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>
      <c r="B69" s="182"/>
      <c r="C69" s="186" t="s">
        <v>607</v>
      </c>
      <c r="D69" s="153" t="s">
        <v>608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/>
    <row r="72" spans="2:15" ht="15.75" customHeight="1">
      <c r="C72" s="345" t="s">
        <v>582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7" priority="18">
      <formula>IF(E$20&lt;=$F$18,1,0)</formula>
    </cfRule>
  </conditionalFormatting>
  <conditionalFormatting sqref="E32:N36">
    <cfRule type="expression" dxfId="26" priority="17">
      <formula>IF(E$30&lt;=$F$28,1,0)</formula>
    </cfRule>
  </conditionalFormatting>
  <conditionalFormatting sqref="E26:F26">
    <cfRule type="expression" dxfId="25" priority="16">
      <formula>IF(E$20&lt;=$F$18,1,0)</formula>
    </cfRule>
  </conditionalFormatting>
  <conditionalFormatting sqref="E26:N26">
    <cfRule type="expression" dxfId="24" priority="15">
      <formula>IF(E$20&lt;=$F$18,1,0)</formula>
    </cfRule>
  </conditionalFormatting>
  <conditionalFormatting sqref="E56:N59">
    <cfRule type="expression" dxfId="23" priority="14">
      <formula>IF(E$54&lt;=$F$52,1,0)</formula>
    </cfRule>
  </conditionalFormatting>
  <conditionalFormatting sqref="E60:N60">
    <cfRule type="expression" dxfId="22" priority="13">
      <formula>IF(E$54&lt;=$F$52,1,0)</formula>
    </cfRule>
  </conditionalFormatting>
  <conditionalFormatting sqref="E66:N68">
    <cfRule type="expression" dxfId="21" priority="12">
      <formula>IF(E$64&lt;=$F$62,1,0)</formula>
    </cfRule>
  </conditionalFormatting>
  <conditionalFormatting sqref="E65:N68 E70:N70">
    <cfRule type="expression" dxfId="20" priority="11">
      <formula>IF(E$64&gt;$F$62,1,0)</formula>
    </cfRule>
  </conditionalFormatting>
  <conditionalFormatting sqref="E56:N60">
    <cfRule type="expression" dxfId="19" priority="10">
      <formula>IF(E$54&gt;$F$52,1,0)</formula>
    </cfRule>
  </conditionalFormatting>
  <conditionalFormatting sqref="E21:N26">
    <cfRule type="expression" dxfId="18" priority="9">
      <formula>IF(E$20&gt;$F$18,1,0)</formula>
    </cfRule>
  </conditionalFormatting>
  <conditionalFormatting sqref="E32:N36">
    <cfRule type="expression" dxfId="17" priority="8">
      <formula>IF(E$30&gt;$F$28,1,0)</formula>
    </cfRule>
  </conditionalFormatting>
  <conditionalFormatting sqref="H11 H8:H9">
    <cfRule type="expression" dxfId="16" priority="7">
      <formula>IF($F$9=1,1,0)</formula>
    </cfRule>
  </conditionalFormatting>
  <conditionalFormatting sqref="E55:N55">
    <cfRule type="expression" dxfId="15" priority="6">
      <formula>IF(E$54&gt;$F$52,1,0)</formula>
    </cfRule>
  </conditionalFormatting>
  <conditionalFormatting sqref="E31:N31">
    <cfRule type="expression" dxfId="14" priority="5">
      <formula>IF(E$30&gt;$F$28,1,0)</formula>
    </cfRule>
  </conditionalFormatting>
  <conditionalFormatting sqref="E70:N70">
    <cfRule type="expression" dxfId="13" priority="4">
      <formula>IF(E$64&lt;=$F$62,1,0)</formula>
    </cfRule>
  </conditionalFormatting>
  <conditionalFormatting sqref="H10">
    <cfRule type="expression" dxfId="12" priority="3">
      <formula>IF($F$9=1,1,0)</formula>
    </cfRule>
  </conditionalFormatting>
  <conditionalFormatting sqref="E69:N69">
    <cfRule type="expression" dxfId="11" priority="2">
      <formula>IF(E$64&lt;=$F$62,1,0)</formula>
    </cfRule>
  </conditionalFormatting>
  <conditionalFormatting sqref="E69:N69">
    <cfRule type="expression" dxfId="10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J33" sqref="J33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366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371</v>
      </c>
      <c r="D5" s="54" t="str">
        <f>Netzbetreiber!$D$9</f>
        <v>Stadtwerke Burgdorf Netz GmbH</v>
      </c>
      <c r="E5" s="130"/>
      <c r="J5" s="88" t="s">
        <v>500</v>
      </c>
      <c r="K5" s="131" t="s">
        <v>503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338</v>
      </c>
      <c r="D6" s="54" t="str">
        <f>Netzbetreiber!$D$28</f>
        <v>Netz Burgdorf H-Gas</v>
      </c>
      <c r="E6" s="130"/>
      <c r="F6" s="130"/>
      <c r="K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490</v>
      </c>
      <c r="D7" s="54" t="str">
        <f>Netzbetreiber!$D$11</f>
        <v>98701054000004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42675</v>
      </c>
      <c r="E8" s="130"/>
      <c r="F8" s="130"/>
      <c r="H8" s="128" t="s">
        <v>498</v>
      </c>
      <c r="J8" s="132">
        <f>COUNTA(D12:D100)</f>
        <v>15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248</v>
      </c>
      <c r="C10" s="135" t="s">
        <v>497</v>
      </c>
      <c r="D10" s="134" t="s">
        <v>147</v>
      </c>
      <c r="E10" s="273" t="s">
        <v>513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637</v>
      </c>
      <c r="M10" s="150" t="s">
        <v>646</v>
      </c>
      <c r="N10" s="151" t="s">
        <v>647</v>
      </c>
      <c r="O10" s="151" t="s">
        <v>648</v>
      </c>
      <c r="P10" s="152" t="s">
        <v>649</v>
      </c>
      <c r="Q10" s="146" t="s">
        <v>638</v>
      </c>
      <c r="R10" s="136" t="s">
        <v>639</v>
      </c>
      <c r="S10" s="137" t="s">
        <v>640</v>
      </c>
      <c r="T10" s="137" t="s">
        <v>641</v>
      </c>
      <c r="U10" s="137" t="s">
        <v>642</v>
      </c>
      <c r="V10" s="137" t="s">
        <v>643</v>
      </c>
      <c r="W10" s="137" t="s">
        <v>644</v>
      </c>
      <c r="X10" s="138" t="s">
        <v>645</v>
      </c>
      <c r="Y10" s="295" t="s">
        <v>650</v>
      </c>
    </row>
    <row r="11" spans="2:26" ht="15.75" thickBot="1">
      <c r="B11" s="139" t="s">
        <v>499</v>
      </c>
      <c r="C11" s="140" t="s">
        <v>512</v>
      </c>
      <c r="D11" s="294" t="s">
        <v>247</v>
      </c>
      <c r="E11" s="164" t="s">
        <v>519</v>
      </c>
      <c r="F11" s="29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5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92">
        <v>365.12299999999999</v>
      </c>
    </row>
    <row r="12" spans="2:26">
      <c r="B12" s="141">
        <v>1</v>
      </c>
      <c r="C12" s="142" t="str">
        <f t="shared" ref="C12:C41" si="0">$D$6</f>
        <v>Netz Burgdorf H-Gas</v>
      </c>
      <c r="D12" s="62" t="s">
        <v>247</v>
      </c>
      <c r="E12" s="165" t="s">
        <v>664</v>
      </c>
      <c r="F12" s="297" t="str">
        <f>VLOOKUP($E12,'BDEW-Standard'!$B$3:$M$94,F$9,0)</f>
        <v>BA4</v>
      </c>
      <c r="H12" s="274">
        <f>ROUND(VLOOKUP($E12,'BDEW-Standard'!$B$3:$M$94,H$9,0),7)</f>
        <v>0.93158890000000005</v>
      </c>
      <c r="I12" s="274">
        <f>ROUND(VLOOKUP($E12,'BDEW-Standard'!$B$3:$M$94,I$9,0),7)</f>
        <v>-33.35</v>
      </c>
      <c r="J12" s="274">
        <f>ROUND(VLOOKUP($E12,'BDEW-Standard'!$B$3:$M$94,J$9,0),7)</f>
        <v>5.7212303000000002</v>
      </c>
      <c r="K12" s="274">
        <f>ROUND(VLOOKUP($E12,'BDEW-Standard'!$B$3:$M$94,K$9,0),7)</f>
        <v>0.66564939999999995</v>
      </c>
      <c r="L12" s="337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8">
        <f t="shared" ref="Q12:Q26" si="1">($H12/(1+($I12/($Q$9-$L12))^$J12)+$K12)+MAX($M12*$Q$9+$N12,$O12*$Q$9+$P12)</f>
        <v>1.0766391850538448</v>
      </c>
      <c r="R12" s="275">
        <f>ROUND(VLOOKUP(MID($E12,4,3),'Wochentag F(WT)'!$B$7:$J$22,R$9,0),4)</f>
        <v>1.0848</v>
      </c>
      <c r="S12" s="275">
        <f>ROUND(VLOOKUP(MID($E12,4,3),'Wochentag F(WT)'!$B$7:$J$22,S$9,0),4)</f>
        <v>1.1211</v>
      </c>
      <c r="T12" s="275">
        <f>ROUND(VLOOKUP(MID($E12,4,3),'Wochentag F(WT)'!$B$7:$J$22,T$9,0),4)</f>
        <v>1.0769</v>
      </c>
      <c r="U12" s="275">
        <f>ROUND(VLOOKUP(MID($E12,4,3),'Wochentag F(WT)'!$B$7:$J$22,U$9,0),4)</f>
        <v>1.1353</v>
      </c>
      <c r="V12" s="275">
        <f>ROUND(VLOOKUP(MID($E12,4,3),'Wochentag F(WT)'!$B$7:$J$22,V$9,0),4)</f>
        <v>1.1402000000000001</v>
      </c>
      <c r="W12" s="275">
        <f>ROUND(VLOOKUP(MID($E12,4,3),'Wochentag F(WT)'!$B$7:$J$22,W$9,0),4)</f>
        <v>0.48520000000000002</v>
      </c>
      <c r="X12" s="276">
        <f>7-SUM(R12:W12)</f>
        <v>0.95650000000000013</v>
      </c>
      <c r="Y12" s="293"/>
      <c r="Z12" s="211"/>
    </row>
    <row r="13" spans="2:26" s="143" customFormat="1">
      <c r="B13" s="144">
        <v>2</v>
      </c>
      <c r="C13" s="145" t="str">
        <f t="shared" si="0"/>
        <v>Netz Burgdorf H-Gas</v>
      </c>
      <c r="D13" s="62" t="s">
        <v>247</v>
      </c>
      <c r="E13" s="165" t="s">
        <v>665</v>
      </c>
      <c r="F13" s="297" t="str">
        <f>VLOOKUP($E13,'BDEW-Standard'!$B$3:$M$94,F$9,0)</f>
        <v>BD4</v>
      </c>
      <c r="H13" s="274">
        <f>ROUND(VLOOKUP($E13,'BDEW-Standard'!$B$3:$M$94,H$9,0),7)</f>
        <v>3.75</v>
      </c>
      <c r="I13" s="274">
        <f>ROUND(VLOOKUP($E13,'BDEW-Standard'!$B$3:$M$94,I$9,0),7)</f>
        <v>-37.5</v>
      </c>
      <c r="J13" s="274">
        <f>ROUND(VLOOKUP($E13,'BDEW-Standard'!$B$3:$M$94,J$9,0),7)</f>
        <v>6.8</v>
      </c>
      <c r="K13" s="274">
        <f>ROUND(VLOOKUP($E13,'BDEW-Standard'!$B$3:$M$94,K$9,0),7)</f>
        <v>6.0911300000000002E-2</v>
      </c>
      <c r="L13" s="337">
        <f>ROUND(VLOOKUP($E13,'BDEW-Standard'!$B$3:$M$94,L$9,0),1)</f>
        <v>40</v>
      </c>
      <c r="M13" s="274">
        <f>ROUND(VLOOKUP($E13,'BDEW-Standard'!$B$3:$M$94,M$9,0),7)</f>
        <v>0</v>
      </c>
      <c r="N13" s="274">
        <f>ROUND(VLOOKUP($E13,'BDEW-Standard'!$B$3:$M$94,N$9,0),7)</f>
        <v>0</v>
      </c>
      <c r="O13" s="274">
        <f>ROUND(VLOOKUP($E13,'BDEW-Standard'!$B$3:$M$94,O$9,0),7)</f>
        <v>0</v>
      </c>
      <c r="P13" s="274">
        <f>ROUND(VLOOKUP($E13,'BDEW-Standard'!$B$3:$M$94,P$9,0),7)</f>
        <v>0</v>
      </c>
      <c r="Q13" s="338">
        <f t="shared" si="1"/>
        <v>1.0126136468627658</v>
      </c>
      <c r="R13" s="275">
        <f>ROUND(VLOOKUP(MID($E13,4,3),'Wochentag F(WT)'!$B$7:$J$22,R$9,0),4)</f>
        <v>1.1052</v>
      </c>
      <c r="S13" s="275">
        <f>ROUND(VLOOKUP(MID($E13,4,3),'Wochentag F(WT)'!$B$7:$J$22,S$9,0),4)</f>
        <v>1.0857000000000001</v>
      </c>
      <c r="T13" s="275">
        <f>ROUND(VLOOKUP(MID($E13,4,3),'Wochentag F(WT)'!$B$7:$J$22,T$9,0),4)</f>
        <v>1.0378000000000001</v>
      </c>
      <c r="U13" s="275">
        <f>ROUND(VLOOKUP(MID($E13,4,3),'Wochentag F(WT)'!$B$7:$J$22,U$9,0),4)</f>
        <v>1.0622</v>
      </c>
      <c r="V13" s="275">
        <f>ROUND(VLOOKUP(MID($E13,4,3),'Wochentag F(WT)'!$B$7:$J$22,V$9,0),4)</f>
        <v>1.0266</v>
      </c>
      <c r="W13" s="275">
        <f>ROUND(VLOOKUP(MID($E13,4,3),'Wochentag F(WT)'!$B$7:$J$22,W$9,0),4)</f>
        <v>0.76290000000000002</v>
      </c>
      <c r="X13" s="276">
        <f t="shared" ref="X13:X26" si="2">7-SUM(R13:W13)</f>
        <v>0.91959999999999997</v>
      </c>
      <c r="Y13" s="293"/>
      <c r="Z13" s="211"/>
    </row>
    <row r="14" spans="2:26" s="143" customFormat="1">
      <c r="B14" s="144">
        <v>3</v>
      </c>
      <c r="C14" s="145" t="str">
        <f t="shared" si="0"/>
        <v>Netz Burgdorf H-Gas</v>
      </c>
      <c r="D14" s="62" t="s">
        <v>247</v>
      </c>
      <c r="E14" s="165" t="s">
        <v>666</v>
      </c>
      <c r="F14" s="297" t="str">
        <f>VLOOKUP($E14,'BDEW-Standard'!$B$3:$M$94,F$9,0)</f>
        <v>BH4</v>
      </c>
      <c r="H14" s="274">
        <f>ROUND(VLOOKUP($E14,'BDEW-Standard'!$B$3:$M$94,H$9,0),7)</f>
        <v>2.4595180999999999</v>
      </c>
      <c r="I14" s="274">
        <f>ROUND(VLOOKUP($E14,'BDEW-Standard'!$B$3:$M$94,I$9,0),7)</f>
        <v>-35.253212400000002</v>
      </c>
      <c r="J14" s="274">
        <f>ROUND(VLOOKUP($E14,'BDEW-Standard'!$B$3:$M$94,J$9,0),7)</f>
        <v>6.0587001000000003</v>
      </c>
      <c r="K14" s="274">
        <f>ROUND(VLOOKUP($E14,'BDEW-Standard'!$B$3:$M$94,K$9,0),7)</f>
        <v>0.16473699999999999</v>
      </c>
      <c r="L14" s="337">
        <f>ROUND(VLOOKUP($E14,'BDEW-Standard'!$B$3:$M$94,L$9,0),1)</f>
        <v>40</v>
      </c>
      <c r="M14" s="274">
        <f>ROUND(VLOOKUP($E14,'BDEW-Standard'!$B$3:$M$94,M$9,0),7)</f>
        <v>0</v>
      </c>
      <c r="N14" s="274">
        <f>ROUND(VLOOKUP($E14,'BDEW-Standard'!$B$3:$M$94,N$9,0),7)</f>
        <v>0</v>
      </c>
      <c r="O14" s="274">
        <f>ROUND(VLOOKUP($E14,'BDEW-Standard'!$B$3:$M$94,O$9,0),7)</f>
        <v>0</v>
      </c>
      <c r="P14" s="274">
        <f>ROUND(VLOOKUP($E14,'BDEW-Standard'!$B$3:$M$94,P$9,0),7)</f>
        <v>0</v>
      </c>
      <c r="Q14" s="338">
        <f t="shared" si="1"/>
        <v>1.043802057143173</v>
      </c>
      <c r="R14" s="275">
        <f>ROUND(VLOOKUP(MID($E14,4,3),'Wochentag F(WT)'!$B$7:$J$22,R$9,0),4)</f>
        <v>0.97670000000000001</v>
      </c>
      <c r="S14" s="275">
        <f>ROUND(VLOOKUP(MID($E14,4,3),'Wochentag F(WT)'!$B$7:$J$22,S$9,0),4)</f>
        <v>1.0388999999999999</v>
      </c>
      <c r="T14" s="275">
        <f>ROUND(VLOOKUP(MID($E14,4,3),'Wochentag F(WT)'!$B$7:$J$22,T$9,0),4)</f>
        <v>1.0027999999999999</v>
      </c>
      <c r="U14" s="275">
        <f>ROUND(VLOOKUP(MID($E14,4,3),'Wochentag F(WT)'!$B$7:$J$22,U$9,0),4)</f>
        <v>1.0162</v>
      </c>
      <c r="V14" s="275">
        <f>ROUND(VLOOKUP(MID($E14,4,3),'Wochentag F(WT)'!$B$7:$J$22,V$9,0),4)</f>
        <v>1.0024</v>
      </c>
      <c r="W14" s="275">
        <f>ROUND(VLOOKUP(MID($E14,4,3),'Wochentag F(WT)'!$B$7:$J$22,W$9,0),4)</f>
        <v>1.0043</v>
      </c>
      <c r="X14" s="276">
        <f t="shared" si="2"/>
        <v>0.95870000000000122</v>
      </c>
      <c r="Y14" s="293"/>
      <c r="Z14" s="211"/>
    </row>
    <row r="15" spans="2:26" s="143" customFormat="1">
      <c r="B15" s="144">
        <v>4</v>
      </c>
      <c r="C15" s="145" t="str">
        <f t="shared" si="0"/>
        <v>Netz Burgdorf H-Gas</v>
      </c>
      <c r="D15" s="62" t="s">
        <v>247</v>
      </c>
      <c r="E15" s="165" t="s">
        <v>667</v>
      </c>
      <c r="F15" s="297" t="str">
        <f>VLOOKUP($E15,'BDEW-Standard'!$B$3:$M$94,F$9,0)</f>
        <v>GA4</v>
      </c>
      <c r="H15" s="274">
        <f>ROUND(VLOOKUP($E15,'BDEW-Standard'!$B$3:$M$94,H$9,0),7)</f>
        <v>2.8195655999999998</v>
      </c>
      <c r="I15" s="274">
        <f>ROUND(VLOOKUP($E15,'BDEW-Standard'!$B$3:$M$94,I$9,0),7)</f>
        <v>-36</v>
      </c>
      <c r="J15" s="274">
        <f>ROUND(VLOOKUP($E15,'BDEW-Standard'!$B$3:$M$94,J$9,0),7)</f>
        <v>7.7368518000000002</v>
      </c>
      <c r="K15" s="274">
        <f>ROUND(VLOOKUP($E15,'BDEW-Standard'!$B$3:$M$94,K$9,0),7)</f>
        <v>0.157281</v>
      </c>
      <c r="L15" s="337">
        <f>ROUND(VLOOKUP($E15,'BDEW-Standard'!$B$3:$M$94,L$9,0),1)</f>
        <v>40</v>
      </c>
      <c r="M15" s="274">
        <f>ROUND(VLOOKUP($E15,'BDEW-Standard'!$B$3:$M$94,M$9,0),7)</f>
        <v>0</v>
      </c>
      <c r="N15" s="274">
        <f>ROUND(VLOOKUP($E15,'BDEW-Standard'!$B$3:$M$94,N$9,0),7)</f>
        <v>0</v>
      </c>
      <c r="O15" s="274">
        <f>ROUND(VLOOKUP($E15,'BDEW-Standard'!$B$3:$M$94,O$9,0),7)</f>
        <v>0</v>
      </c>
      <c r="P15" s="274">
        <f>ROUND(VLOOKUP($E15,'BDEW-Standard'!$B$3:$M$94,P$9,0),7)</f>
        <v>0</v>
      </c>
      <c r="Q15" s="338">
        <f t="shared" si="1"/>
        <v>0.96576337685759206</v>
      </c>
      <c r="R15" s="275">
        <f>ROUND(VLOOKUP(MID($E15,4,3),'Wochentag F(WT)'!$B$7:$J$22,R$9,0),4)</f>
        <v>0.93220000000000003</v>
      </c>
      <c r="S15" s="275">
        <f>ROUND(VLOOKUP(MID($E15,4,3),'Wochentag F(WT)'!$B$7:$J$22,S$9,0),4)</f>
        <v>0.98939999999999995</v>
      </c>
      <c r="T15" s="275">
        <f>ROUND(VLOOKUP(MID($E15,4,3),'Wochentag F(WT)'!$B$7:$J$22,T$9,0),4)</f>
        <v>1.0033000000000001</v>
      </c>
      <c r="U15" s="275">
        <f>ROUND(VLOOKUP(MID($E15,4,3),'Wochentag F(WT)'!$B$7:$J$22,U$9,0),4)</f>
        <v>1.0108999999999999</v>
      </c>
      <c r="V15" s="275">
        <f>ROUND(VLOOKUP(MID($E15,4,3),'Wochentag F(WT)'!$B$7:$J$22,V$9,0),4)</f>
        <v>1.018</v>
      </c>
      <c r="W15" s="275">
        <f>ROUND(VLOOKUP(MID($E15,4,3),'Wochentag F(WT)'!$B$7:$J$22,W$9,0),4)</f>
        <v>1.0356000000000001</v>
      </c>
      <c r="X15" s="276">
        <f t="shared" si="2"/>
        <v>1.0106000000000002</v>
      </c>
      <c r="Y15" s="293"/>
      <c r="Z15" s="211"/>
    </row>
    <row r="16" spans="2:26" s="143" customFormat="1">
      <c r="B16" s="144">
        <v>5</v>
      </c>
      <c r="C16" s="145" t="str">
        <f t="shared" si="0"/>
        <v>Netz Burgdorf H-Gas</v>
      </c>
      <c r="D16" s="62" t="s">
        <v>247</v>
      </c>
      <c r="E16" s="165" t="s">
        <v>668</v>
      </c>
      <c r="F16" s="297" t="str">
        <f>VLOOKUP($E16,'BDEW-Standard'!$B$3:$M$94,F$9,0)</f>
        <v>GB4</v>
      </c>
      <c r="H16" s="274">
        <f>ROUND(VLOOKUP($E16,'BDEW-Standard'!$B$3:$M$94,H$9,0),7)</f>
        <v>3.6017736</v>
      </c>
      <c r="I16" s="274">
        <f>ROUND(VLOOKUP($E16,'BDEW-Standard'!$B$3:$M$94,I$9,0),7)</f>
        <v>-37.882536799999997</v>
      </c>
      <c r="J16" s="274">
        <f>ROUND(VLOOKUP($E16,'BDEW-Standard'!$B$3:$M$94,J$9,0),7)</f>
        <v>6.9836070000000001</v>
      </c>
      <c r="K16" s="274">
        <f>ROUND(VLOOKUP($E16,'BDEW-Standard'!$B$3:$M$94,K$9,0),7)</f>
        <v>5.4826199999999999E-2</v>
      </c>
      <c r="L16" s="337">
        <f>ROUND(VLOOKUP($E16,'BDEW-Standard'!$B$3:$M$94,L$9,0),1)</f>
        <v>40</v>
      </c>
      <c r="M16" s="274">
        <f>ROUND(VLOOKUP($E16,'BDEW-Standard'!$B$3:$M$94,M$9,0),7)</f>
        <v>0</v>
      </c>
      <c r="N16" s="274">
        <f>ROUND(VLOOKUP($E16,'BDEW-Standard'!$B$3:$M$94,N$9,0),7)</f>
        <v>0</v>
      </c>
      <c r="O16" s="274">
        <f>ROUND(VLOOKUP($E16,'BDEW-Standard'!$B$3:$M$94,O$9,0),7)</f>
        <v>0</v>
      </c>
      <c r="P16" s="274">
        <f>ROUND(VLOOKUP($E16,'BDEW-Standard'!$B$3:$M$94,P$9,0),7)</f>
        <v>0</v>
      </c>
      <c r="Q16" s="338">
        <f t="shared" si="1"/>
        <v>0.90239375975311864</v>
      </c>
      <c r="R16" s="275">
        <f>ROUND(VLOOKUP(MID($E16,4,3),'Wochentag F(WT)'!$B$7:$J$22,R$9,0),4)</f>
        <v>0.98970000000000002</v>
      </c>
      <c r="S16" s="275">
        <f>ROUND(VLOOKUP(MID($E16,4,3),'Wochentag F(WT)'!$B$7:$J$22,S$9,0),4)</f>
        <v>0.9627</v>
      </c>
      <c r="T16" s="275">
        <f>ROUND(VLOOKUP(MID($E16,4,3),'Wochentag F(WT)'!$B$7:$J$22,T$9,0),4)</f>
        <v>1.0507</v>
      </c>
      <c r="U16" s="275">
        <f>ROUND(VLOOKUP(MID($E16,4,3),'Wochentag F(WT)'!$B$7:$J$22,U$9,0),4)</f>
        <v>1.0551999999999999</v>
      </c>
      <c r="V16" s="275">
        <f>ROUND(VLOOKUP(MID($E16,4,3),'Wochentag F(WT)'!$B$7:$J$22,V$9,0),4)</f>
        <v>1.0297000000000001</v>
      </c>
      <c r="W16" s="275">
        <f>ROUND(VLOOKUP(MID($E16,4,3),'Wochentag F(WT)'!$B$7:$J$22,W$9,0),4)</f>
        <v>0.97670000000000001</v>
      </c>
      <c r="X16" s="276">
        <f t="shared" si="2"/>
        <v>0.9352999999999998</v>
      </c>
      <c r="Y16" s="293"/>
      <c r="Z16" s="211"/>
    </row>
    <row r="17" spans="2:26" s="143" customFormat="1">
      <c r="B17" s="144">
        <v>6</v>
      </c>
      <c r="C17" s="145" t="str">
        <f t="shared" si="0"/>
        <v>Netz Burgdorf H-Gas</v>
      </c>
      <c r="D17" s="62" t="s">
        <v>247</v>
      </c>
      <c r="E17" s="165" t="s">
        <v>669</v>
      </c>
      <c r="F17" s="297" t="str">
        <f>VLOOKUP($E17,'BDEW-Standard'!$B$3:$M$94,F$9,0)</f>
        <v>HA4</v>
      </c>
      <c r="H17" s="274">
        <f>ROUND(VLOOKUP($E17,'BDEW-Standard'!$B$3:$M$94,H$9,0),7)</f>
        <v>4.0196902000000003</v>
      </c>
      <c r="I17" s="274">
        <f>ROUND(VLOOKUP($E17,'BDEW-Standard'!$B$3:$M$94,I$9,0),7)</f>
        <v>-37.828203700000003</v>
      </c>
      <c r="J17" s="274">
        <f>ROUND(VLOOKUP($E17,'BDEW-Standard'!$B$3:$M$94,J$9,0),7)</f>
        <v>8.1593368999999996</v>
      </c>
      <c r="K17" s="274">
        <f>ROUND(VLOOKUP($E17,'BDEW-Standard'!$B$3:$M$94,K$9,0),7)</f>
        <v>4.72845E-2</v>
      </c>
      <c r="L17" s="337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8">
        <f t="shared" si="1"/>
        <v>0.86486713303260787</v>
      </c>
      <c r="R17" s="275">
        <f>ROUND(VLOOKUP(MID($E17,4,3),'Wochentag F(WT)'!$B$7:$J$22,R$9,0),4)</f>
        <v>1.0358000000000001</v>
      </c>
      <c r="S17" s="275">
        <f>ROUND(VLOOKUP(MID($E17,4,3),'Wochentag F(WT)'!$B$7:$J$22,S$9,0),4)</f>
        <v>1.0232000000000001</v>
      </c>
      <c r="T17" s="275">
        <f>ROUND(VLOOKUP(MID($E17,4,3),'Wochentag F(WT)'!$B$7:$J$22,T$9,0),4)</f>
        <v>1.0251999999999999</v>
      </c>
      <c r="U17" s="275">
        <f>ROUND(VLOOKUP(MID($E17,4,3),'Wochentag F(WT)'!$B$7:$J$22,U$9,0),4)</f>
        <v>1.0295000000000001</v>
      </c>
      <c r="V17" s="275">
        <f>ROUND(VLOOKUP(MID($E17,4,3),'Wochentag F(WT)'!$B$7:$J$22,V$9,0),4)</f>
        <v>1.0253000000000001</v>
      </c>
      <c r="W17" s="275">
        <f>ROUND(VLOOKUP(MID($E17,4,3),'Wochentag F(WT)'!$B$7:$J$22,W$9,0),4)</f>
        <v>0.96750000000000003</v>
      </c>
      <c r="X17" s="276">
        <f t="shared" si="2"/>
        <v>0.89350000000000041</v>
      </c>
      <c r="Y17" s="293"/>
      <c r="Z17" s="211"/>
    </row>
    <row r="18" spans="2:26" s="143" customFormat="1">
      <c r="B18" s="144">
        <v>7</v>
      </c>
      <c r="C18" s="145" t="str">
        <f t="shared" si="0"/>
        <v>Netz Burgdorf H-Gas</v>
      </c>
      <c r="D18" s="62" t="s">
        <v>247</v>
      </c>
      <c r="E18" s="165" t="s">
        <v>670</v>
      </c>
      <c r="F18" s="297" t="str">
        <f>VLOOKUP($E18,'BDEW-Standard'!$B$3:$M$94,F$9,0)</f>
        <v>HD4</v>
      </c>
      <c r="H18" s="274">
        <f>ROUND(VLOOKUP($E18,'BDEW-Standard'!$B$3:$M$94,H$9,0),7)</f>
        <v>3.0084346000000002</v>
      </c>
      <c r="I18" s="274">
        <f>ROUND(VLOOKUP($E18,'BDEW-Standard'!$B$3:$M$94,I$9,0),7)</f>
        <v>-36.607845300000001</v>
      </c>
      <c r="J18" s="274">
        <f>ROUND(VLOOKUP($E18,'BDEW-Standard'!$B$3:$M$94,J$9,0),7)</f>
        <v>7.3211870000000001</v>
      </c>
      <c r="K18" s="274">
        <f>ROUND(VLOOKUP($E18,'BDEW-Standard'!$B$3:$M$94,K$9,0),7)</f>
        <v>0.15496599999999999</v>
      </c>
      <c r="L18" s="337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8">
        <f t="shared" si="1"/>
        <v>0.97302438504000599</v>
      </c>
      <c r="R18" s="275">
        <f>ROUND(VLOOKUP(MID($E18,4,3),'Wochentag F(WT)'!$B$7:$J$22,R$9,0),4)</f>
        <v>1.03</v>
      </c>
      <c r="S18" s="275">
        <f>ROUND(VLOOKUP(MID($E18,4,3),'Wochentag F(WT)'!$B$7:$J$22,S$9,0),4)</f>
        <v>1.03</v>
      </c>
      <c r="T18" s="275">
        <f>ROUND(VLOOKUP(MID($E18,4,3),'Wochentag F(WT)'!$B$7:$J$22,T$9,0),4)</f>
        <v>1.02</v>
      </c>
      <c r="U18" s="275">
        <f>ROUND(VLOOKUP(MID($E18,4,3),'Wochentag F(WT)'!$B$7:$J$22,U$9,0),4)</f>
        <v>1.03</v>
      </c>
      <c r="V18" s="275">
        <f>ROUND(VLOOKUP(MID($E18,4,3),'Wochentag F(WT)'!$B$7:$J$22,V$9,0),4)</f>
        <v>1.01</v>
      </c>
      <c r="W18" s="275">
        <f>ROUND(VLOOKUP(MID($E18,4,3),'Wochentag F(WT)'!$B$7:$J$22,W$9,0),4)</f>
        <v>0.93</v>
      </c>
      <c r="X18" s="276">
        <f t="shared" si="2"/>
        <v>0.95000000000000018</v>
      </c>
      <c r="Y18" s="293"/>
      <c r="Z18" s="211"/>
    </row>
    <row r="19" spans="2:26" s="143" customFormat="1">
      <c r="B19" s="144">
        <v>8</v>
      </c>
      <c r="C19" s="145" t="str">
        <f t="shared" si="0"/>
        <v>Netz Burgdorf H-Gas</v>
      </c>
      <c r="D19" s="62" t="s">
        <v>247</v>
      </c>
      <c r="E19" s="165" t="s">
        <v>4</v>
      </c>
      <c r="F19" s="297" t="str">
        <f>VLOOKUP($E19,'BDEW-Standard'!$B$3:$M$94,F$9,0)</f>
        <v>HK3</v>
      </c>
      <c r="H19" s="274">
        <f>ROUND(VLOOKUP($E19,'BDEW-Standard'!$B$3:$M$94,H$9,0),7)</f>
        <v>0.40409319999999999</v>
      </c>
      <c r="I19" s="274">
        <f>ROUND(VLOOKUP($E19,'BDEW-Standard'!$B$3:$M$94,I$9,0),7)</f>
        <v>-24.439296800000001</v>
      </c>
      <c r="J19" s="274">
        <f>ROUND(VLOOKUP($E19,'BDEW-Standard'!$B$3:$M$94,J$9,0),7)</f>
        <v>6.5718174999999999</v>
      </c>
      <c r="K19" s="274">
        <f>ROUND(VLOOKUP($E19,'BDEW-Standard'!$B$3:$M$94,K$9,0),7)</f>
        <v>0.71077100000000004</v>
      </c>
      <c r="L19" s="337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8">
        <f t="shared" si="1"/>
        <v>1.0561214000512988</v>
      </c>
      <c r="R19" s="275">
        <f>ROUND(VLOOKUP(MID($E19,4,3),'Wochentag F(WT)'!$B$7:$J$22,R$9,0),4)</f>
        <v>1</v>
      </c>
      <c r="S19" s="275">
        <f>ROUND(VLOOKUP(MID($E19,4,3),'Wochentag F(WT)'!$B$7:$J$22,S$9,0),4)</f>
        <v>1</v>
      </c>
      <c r="T19" s="275">
        <f>ROUND(VLOOKUP(MID($E19,4,3),'Wochentag F(WT)'!$B$7:$J$22,T$9,0),4)</f>
        <v>1</v>
      </c>
      <c r="U19" s="275">
        <f>ROUND(VLOOKUP(MID($E19,4,3),'Wochentag F(WT)'!$B$7:$J$22,U$9,0),4)</f>
        <v>1</v>
      </c>
      <c r="V19" s="275">
        <f>ROUND(VLOOKUP(MID($E19,4,3),'Wochentag F(WT)'!$B$7:$J$22,V$9,0),4)</f>
        <v>1</v>
      </c>
      <c r="W19" s="275">
        <f>ROUND(VLOOKUP(MID($E19,4,3),'Wochentag F(WT)'!$B$7:$J$22,W$9,0),4)</f>
        <v>1</v>
      </c>
      <c r="X19" s="276">
        <f t="shared" si="2"/>
        <v>1</v>
      </c>
      <c r="Y19" s="293"/>
      <c r="Z19" s="211"/>
    </row>
    <row r="20" spans="2:26" s="143" customFormat="1">
      <c r="B20" s="144">
        <v>9</v>
      </c>
      <c r="C20" s="145" t="str">
        <f t="shared" si="0"/>
        <v>Netz Burgdorf H-Gas</v>
      </c>
      <c r="D20" s="62" t="s">
        <v>247</v>
      </c>
      <c r="E20" s="165" t="s">
        <v>671</v>
      </c>
      <c r="F20" s="297" t="str">
        <f>VLOOKUP($E20,'BDEW-Standard'!$B$3:$M$94,F$9,0)</f>
        <v>KO4</v>
      </c>
      <c r="H20" s="274">
        <f>ROUND(VLOOKUP($E20,'BDEW-Standard'!$B$3:$M$94,H$9,0),7)</f>
        <v>3.4428942999999999</v>
      </c>
      <c r="I20" s="274">
        <f>ROUND(VLOOKUP($E20,'BDEW-Standard'!$B$3:$M$94,I$9,0),7)</f>
        <v>-36.659050399999998</v>
      </c>
      <c r="J20" s="274">
        <f>ROUND(VLOOKUP($E20,'BDEW-Standard'!$B$3:$M$94,J$9,0),7)</f>
        <v>7.6083226000000002</v>
      </c>
      <c r="K20" s="274">
        <f>ROUND(VLOOKUP($E20,'BDEW-Standard'!$B$3:$M$94,K$9,0),7)</f>
        <v>7.4685000000000001E-2</v>
      </c>
      <c r="L20" s="337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8">
        <f t="shared" si="1"/>
        <v>0.97768382110526542</v>
      </c>
      <c r="R20" s="275">
        <f>ROUND(VLOOKUP(MID($E20,4,3),'Wochentag F(WT)'!$B$7:$J$22,R$9,0),4)</f>
        <v>1.0354000000000001</v>
      </c>
      <c r="S20" s="275">
        <f>ROUND(VLOOKUP(MID($E20,4,3),'Wochentag F(WT)'!$B$7:$J$22,S$9,0),4)</f>
        <v>1.0523</v>
      </c>
      <c r="T20" s="275">
        <f>ROUND(VLOOKUP(MID($E20,4,3),'Wochentag F(WT)'!$B$7:$J$22,T$9,0),4)</f>
        <v>1.0448999999999999</v>
      </c>
      <c r="U20" s="275">
        <f>ROUND(VLOOKUP(MID($E20,4,3),'Wochentag F(WT)'!$B$7:$J$22,U$9,0),4)</f>
        <v>1.0494000000000001</v>
      </c>
      <c r="V20" s="275">
        <f>ROUND(VLOOKUP(MID($E20,4,3),'Wochentag F(WT)'!$B$7:$J$22,V$9,0),4)</f>
        <v>0.98850000000000005</v>
      </c>
      <c r="W20" s="275">
        <f>ROUND(VLOOKUP(MID($E20,4,3),'Wochentag F(WT)'!$B$7:$J$22,W$9,0),4)</f>
        <v>0.88600000000000001</v>
      </c>
      <c r="X20" s="276">
        <f t="shared" si="2"/>
        <v>0.94349999999999934</v>
      </c>
      <c r="Y20" s="293"/>
      <c r="Z20" s="211"/>
    </row>
    <row r="21" spans="2:26" s="143" customFormat="1">
      <c r="B21" s="144">
        <v>10</v>
      </c>
      <c r="C21" s="145" t="str">
        <f t="shared" si="0"/>
        <v>Netz Burgdorf H-Gas</v>
      </c>
      <c r="D21" s="62" t="s">
        <v>247</v>
      </c>
      <c r="E21" s="165" t="s">
        <v>672</v>
      </c>
      <c r="F21" s="297" t="str">
        <f>VLOOKUP($E21,'BDEW-Standard'!$B$3:$M$94,F$9,0)</f>
        <v>MF4</v>
      </c>
      <c r="H21" s="274">
        <f>ROUND(VLOOKUP($E21,'BDEW-Standard'!$B$3:$M$94,H$9,0),7)</f>
        <v>2.5187775000000001</v>
      </c>
      <c r="I21" s="274">
        <f>ROUND(VLOOKUP($E21,'BDEW-Standard'!$B$3:$M$94,I$9,0),7)</f>
        <v>-35.033375399999997</v>
      </c>
      <c r="J21" s="274">
        <f>ROUND(VLOOKUP($E21,'BDEW-Standard'!$B$3:$M$94,J$9,0),7)</f>
        <v>6.2240634000000004</v>
      </c>
      <c r="K21" s="274">
        <f>ROUND(VLOOKUP($E21,'BDEW-Standard'!$B$3:$M$94,K$9,0),7)</f>
        <v>0.10107820000000001</v>
      </c>
      <c r="L21" s="337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8">
        <f t="shared" si="1"/>
        <v>1.0146273685996503</v>
      </c>
      <c r="R21" s="275">
        <f>ROUND(VLOOKUP(MID($E21,4,3),'Wochentag F(WT)'!$B$7:$J$22,R$9,0),4)</f>
        <v>1.0354000000000001</v>
      </c>
      <c r="S21" s="275">
        <f>ROUND(VLOOKUP(MID($E21,4,3),'Wochentag F(WT)'!$B$7:$J$22,S$9,0),4)</f>
        <v>1.0523</v>
      </c>
      <c r="T21" s="275">
        <f>ROUND(VLOOKUP(MID($E21,4,3),'Wochentag F(WT)'!$B$7:$J$22,T$9,0),4)</f>
        <v>1.0448999999999999</v>
      </c>
      <c r="U21" s="275">
        <f>ROUND(VLOOKUP(MID($E21,4,3),'Wochentag F(WT)'!$B$7:$J$22,U$9,0),4)</f>
        <v>1.0494000000000001</v>
      </c>
      <c r="V21" s="275">
        <f>ROUND(VLOOKUP(MID($E21,4,3),'Wochentag F(WT)'!$B$7:$J$22,V$9,0),4)</f>
        <v>0.98850000000000005</v>
      </c>
      <c r="W21" s="275">
        <f>ROUND(VLOOKUP(MID($E21,4,3),'Wochentag F(WT)'!$B$7:$J$22,W$9,0),4)</f>
        <v>0.88600000000000001</v>
      </c>
      <c r="X21" s="276">
        <f t="shared" si="2"/>
        <v>0.94349999999999934</v>
      </c>
      <c r="Y21" s="293"/>
      <c r="Z21" s="211"/>
    </row>
    <row r="22" spans="2:26" s="143" customFormat="1">
      <c r="B22" s="144">
        <v>11</v>
      </c>
      <c r="C22" s="145" t="str">
        <f t="shared" si="0"/>
        <v>Netz Burgdorf H-Gas</v>
      </c>
      <c r="D22" s="62" t="s">
        <v>247</v>
      </c>
      <c r="E22" s="165" t="s">
        <v>673</v>
      </c>
      <c r="F22" s="297" t="str">
        <f>VLOOKUP($E22,'BDEW-Standard'!$B$3:$M$94,F$9,0)</f>
        <v>MK4</v>
      </c>
      <c r="H22" s="274">
        <f>ROUND(VLOOKUP($E22,'BDEW-Standard'!$B$3:$M$94,H$9,0),7)</f>
        <v>3.1177248</v>
      </c>
      <c r="I22" s="274">
        <f>ROUND(VLOOKUP($E22,'BDEW-Standard'!$B$3:$M$94,I$9,0),7)</f>
        <v>-35.871506199999999</v>
      </c>
      <c r="J22" s="274">
        <f>ROUND(VLOOKUP($E22,'BDEW-Standard'!$B$3:$M$94,J$9,0),7)</f>
        <v>7.5186828999999999</v>
      </c>
      <c r="K22" s="274">
        <f>ROUND(VLOOKUP($E22,'BDEW-Standard'!$B$3:$M$94,K$9,0),7)</f>
        <v>3.4330100000000002E-2</v>
      </c>
      <c r="L22" s="337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8">
        <f t="shared" si="1"/>
        <v>0.9622064996731321</v>
      </c>
      <c r="R22" s="275">
        <f>ROUND(VLOOKUP(MID($E22,4,3),'Wochentag F(WT)'!$B$7:$J$22,R$9,0),4)</f>
        <v>1.0699000000000001</v>
      </c>
      <c r="S22" s="275">
        <f>ROUND(VLOOKUP(MID($E22,4,3),'Wochentag F(WT)'!$B$7:$J$22,S$9,0),4)</f>
        <v>1.0365</v>
      </c>
      <c r="T22" s="275">
        <f>ROUND(VLOOKUP(MID($E22,4,3),'Wochentag F(WT)'!$B$7:$J$22,T$9,0),4)</f>
        <v>0.99329999999999996</v>
      </c>
      <c r="U22" s="275">
        <f>ROUND(VLOOKUP(MID($E22,4,3),'Wochentag F(WT)'!$B$7:$J$22,U$9,0),4)</f>
        <v>0.99480000000000002</v>
      </c>
      <c r="V22" s="275">
        <f>ROUND(VLOOKUP(MID($E22,4,3),'Wochentag F(WT)'!$B$7:$J$22,V$9,0),4)</f>
        <v>1.0659000000000001</v>
      </c>
      <c r="W22" s="275">
        <f>ROUND(VLOOKUP(MID($E22,4,3),'Wochentag F(WT)'!$B$7:$J$22,W$9,0),4)</f>
        <v>0.93620000000000003</v>
      </c>
      <c r="X22" s="276">
        <f t="shared" si="2"/>
        <v>0.90339999999999954</v>
      </c>
      <c r="Y22" s="293"/>
      <c r="Z22" s="211"/>
    </row>
    <row r="23" spans="2:26" s="143" customFormat="1">
      <c r="B23" s="144">
        <v>12</v>
      </c>
      <c r="C23" s="145" t="str">
        <f t="shared" si="0"/>
        <v>Netz Burgdorf H-Gas</v>
      </c>
      <c r="D23" s="62" t="s">
        <v>247</v>
      </c>
      <c r="E23" s="165" t="s">
        <v>674</v>
      </c>
      <c r="F23" s="297" t="str">
        <f>VLOOKUP($E23,'BDEW-Standard'!$B$3:$M$94,F$9,0)</f>
        <v>PD4</v>
      </c>
      <c r="H23" s="274">
        <f>ROUND(VLOOKUP($E23,'BDEW-Standard'!$B$3:$M$94,H$9,0),7)</f>
        <v>3.85</v>
      </c>
      <c r="I23" s="274">
        <f>ROUND(VLOOKUP($E23,'BDEW-Standard'!$B$3:$M$94,I$9,0),7)</f>
        <v>-37</v>
      </c>
      <c r="J23" s="274">
        <f>ROUND(VLOOKUP($E23,'BDEW-Standard'!$B$3:$M$94,J$9,0),7)</f>
        <v>10.2405021</v>
      </c>
      <c r="K23" s="274">
        <f>ROUND(VLOOKUP($E23,'BDEW-Standard'!$B$3:$M$94,K$9,0),7)</f>
        <v>4.6924300000000002E-2</v>
      </c>
      <c r="L23" s="337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8">
        <f t="shared" si="1"/>
        <v>0.75691065279879233</v>
      </c>
      <c r="R23" s="275">
        <f>ROUND(VLOOKUP(MID($E23,4,3),'Wochentag F(WT)'!$B$7:$J$22,R$9,0),4)</f>
        <v>1.0214000000000001</v>
      </c>
      <c r="S23" s="275">
        <f>ROUND(VLOOKUP(MID($E23,4,3),'Wochentag F(WT)'!$B$7:$J$22,S$9,0),4)</f>
        <v>1.0866</v>
      </c>
      <c r="T23" s="275">
        <f>ROUND(VLOOKUP(MID($E23,4,3),'Wochentag F(WT)'!$B$7:$J$22,T$9,0),4)</f>
        <v>1.0720000000000001</v>
      </c>
      <c r="U23" s="275">
        <f>ROUND(VLOOKUP(MID($E23,4,3),'Wochentag F(WT)'!$B$7:$J$22,U$9,0),4)</f>
        <v>1.0557000000000001</v>
      </c>
      <c r="V23" s="275">
        <f>ROUND(VLOOKUP(MID($E23,4,3),'Wochentag F(WT)'!$B$7:$J$22,V$9,0),4)</f>
        <v>1.0117</v>
      </c>
      <c r="W23" s="275">
        <f>ROUND(VLOOKUP(MID($E23,4,3),'Wochentag F(WT)'!$B$7:$J$22,W$9,0),4)</f>
        <v>0.90010000000000001</v>
      </c>
      <c r="X23" s="276">
        <f t="shared" si="2"/>
        <v>0.85249999999999915</v>
      </c>
      <c r="Y23" s="293"/>
      <c r="Z23" s="211"/>
    </row>
    <row r="24" spans="2:26" s="143" customFormat="1">
      <c r="B24" s="144">
        <v>13</v>
      </c>
      <c r="C24" s="145" t="str">
        <f t="shared" si="0"/>
        <v>Netz Burgdorf H-Gas</v>
      </c>
      <c r="D24" s="62" t="s">
        <v>247</v>
      </c>
      <c r="E24" s="165" t="s">
        <v>675</v>
      </c>
      <c r="F24" s="297" t="str">
        <f>VLOOKUP($E24,'BDEW-Standard'!$B$3:$M$94,F$9,0)</f>
        <v>WA4</v>
      </c>
      <c r="H24" s="274">
        <f>ROUND(VLOOKUP($E24,'BDEW-Standard'!$B$3:$M$94,H$9,0),7)</f>
        <v>1.0535874999999999</v>
      </c>
      <c r="I24" s="274">
        <f>ROUND(VLOOKUP($E24,'BDEW-Standard'!$B$3:$M$94,I$9,0),7)</f>
        <v>-35.299999999999997</v>
      </c>
      <c r="J24" s="274">
        <f>ROUND(VLOOKUP($E24,'BDEW-Standard'!$B$3:$M$94,J$9,0),7)</f>
        <v>4.8662747</v>
      </c>
      <c r="K24" s="274">
        <f>ROUND(VLOOKUP($E24,'BDEW-Standard'!$B$3:$M$94,K$9,0),7)</f>
        <v>0.68110420000000005</v>
      </c>
      <c r="L24" s="337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8">
        <f t="shared" si="1"/>
        <v>1.0844348950990992</v>
      </c>
      <c r="R24" s="275">
        <f>ROUND(VLOOKUP(MID($E24,4,3),'Wochentag F(WT)'!$B$7:$J$22,R$9,0),4)</f>
        <v>1.2457</v>
      </c>
      <c r="S24" s="275">
        <f>ROUND(VLOOKUP(MID($E24,4,3),'Wochentag F(WT)'!$B$7:$J$22,S$9,0),4)</f>
        <v>1.2615000000000001</v>
      </c>
      <c r="T24" s="275">
        <f>ROUND(VLOOKUP(MID($E24,4,3),'Wochentag F(WT)'!$B$7:$J$22,T$9,0),4)</f>
        <v>1.2706999999999999</v>
      </c>
      <c r="U24" s="275">
        <f>ROUND(VLOOKUP(MID($E24,4,3),'Wochentag F(WT)'!$B$7:$J$22,U$9,0),4)</f>
        <v>1.2430000000000001</v>
      </c>
      <c r="V24" s="275">
        <f>ROUND(VLOOKUP(MID($E24,4,3),'Wochentag F(WT)'!$B$7:$J$22,V$9,0),4)</f>
        <v>1.1275999999999999</v>
      </c>
      <c r="W24" s="275">
        <f>ROUND(VLOOKUP(MID($E24,4,3),'Wochentag F(WT)'!$B$7:$J$22,W$9,0),4)</f>
        <v>0.38769999999999999</v>
      </c>
      <c r="X24" s="276">
        <f t="shared" si="2"/>
        <v>0.46379999999999999</v>
      </c>
      <c r="Y24" s="293"/>
      <c r="Z24" s="211"/>
    </row>
    <row r="25" spans="2:26" s="143" customFormat="1">
      <c r="B25" s="144">
        <v>14</v>
      </c>
      <c r="C25" s="145" t="str">
        <f t="shared" si="0"/>
        <v>Netz Burgdorf H-Gas</v>
      </c>
      <c r="D25" s="62" t="s">
        <v>247</v>
      </c>
      <c r="E25" s="165" t="s">
        <v>24</v>
      </c>
      <c r="F25" s="297" t="str">
        <f>VLOOKUP($E25,'BDEW-Standard'!$B$3:$M$154,F$9,0)</f>
        <v>I14</v>
      </c>
      <c r="H25" s="274">
        <f>ROUND(VLOOKUP($E25,'BDEW-Standard'!$B$3:$M$154,H$9,0),7)</f>
        <v>3.1935978</v>
      </c>
      <c r="I25" s="341">
        <f>ROUND(VLOOKUP($E25,'BDEW-Standard'!$B$3:$M$154,I$9,0),7)</f>
        <v>-37.414247799999998</v>
      </c>
      <c r="J25" s="341">
        <f>ROUND(VLOOKUP($E25,'BDEW-Standard'!$B$3:$M$154,J$9,0),7)</f>
        <v>6.1824021</v>
      </c>
      <c r="K25" s="341">
        <f>ROUND(VLOOKUP($E25,'BDEW-Standard'!$B$3:$M$154,K$9,0),7)</f>
        <v>8.1086000000000005E-2</v>
      </c>
      <c r="L25" s="342">
        <f>ROUND(VLOOKUP($E25,'BDEW-Standard'!$B$3:$M$154,L$9,0),1)</f>
        <v>40</v>
      </c>
      <c r="M25" s="341">
        <f>ROUND(VLOOKUP($E25,'BDEW-Standard'!$B$3:$M$154,M$9,0),7)</f>
        <v>0</v>
      </c>
      <c r="N25" s="341">
        <f>ROUND(VLOOKUP($E25,'BDEW-Standard'!$B$3:$M$154,N$9,0),7)</f>
        <v>0</v>
      </c>
      <c r="O25" s="341">
        <f>ROUND(VLOOKUP($E25,'BDEW-Standard'!$B$3:$M$154,O$9,0),7)</f>
        <v>0</v>
      </c>
      <c r="P25" s="341">
        <f>ROUND(VLOOKUP($E25,'BDEW-Standard'!$B$3:$M$154,P$9,0),7)</f>
        <v>0</v>
      </c>
      <c r="Q25" s="338">
        <f t="shared" si="1"/>
        <v>0.96123311186795624</v>
      </c>
      <c r="R25" s="275">
        <f>ROUND(VLOOKUP(MID($E25,4,3),'Wochentag F(WT)'!$B$7:$J$22,R$9,0),4)</f>
        <v>1</v>
      </c>
      <c r="S25" s="275">
        <f>ROUND(VLOOKUP(MID($E25,4,3),'Wochentag F(WT)'!$B$7:$J$22,S$9,0),4)</f>
        <v>1</v>
      </c>
      <c r="T25" s="275">
        <f>ROUND(VLOOKUP(MID($E25,4,3),'Wochentag F(WT)'!$B$7:$J$22,T$9,0),4)</f>
        <v>1</v>
      </c>
      <c r="U25" s="275">
        <f>ROUND(VLOOKUP(MID($E25,4,3),'Wochentag F(WT)'!$B$7:$J$22,U$9,0),4)</f>
        <v>1</v>
      </c>
      <c r="V25" s="275">
        <f>ROUND(VLOOKUP(MID($E25,4,3),'Wochentag F(WT)'!$B$7:$J$22,V$9,0),4)</f>
        <v>1</v>
      </c>
      <c r="W25" s="275">
        <f>ROUND(VLOOKUP(MID($E25,4,3),'Wochentag F(WT)'!$B$7:$J$22,W$9,0),4)</f>
        <v>1</v>
      </c>
      <c r="X25" s="276">
        <f t="shared" si="2"/>
        <v>1</v>
      </c>
      <c r="Y25" s="293"/>
      <c r="Z25" s="211"/>
    </row>
    <row r="26" spans="2:26" s="143" customFormat="1">
      <c r="B26" s="144">
        <v>15</v>
      </c>
      <c r="C26" s="145" t="str">
        <f t="shared" si="0"/>
        <v>Netz Burgdorf H-Gas</v>
      </c>
      <c r="D26" s="62" t="s">
        <v>247</v>
      </c>
      <c r="E26" s="166" t="s">
        <v>32</v>
      </c>
      <c r="F26" s="297" t="str">
        <f>VLOOKUP($E26,'BDEW-Standard'!$B$3:$M$154,F$9,0)</f>
        <v>I24</v>
      </c>
      <c r="H26" s="274">
        <f>ROUND(VLOOKUP($E26,'BDEW-Standard'!$B$3:$M$154,H$9,0),7)</f>
        <v>2.529738</v>
      </c>
      <c r="I26" s="341">
        <f>ROUND(VLOOKUP($E26,'BDEW-Standard'!$B$3:$M$154,I$9,0),7)</f>
        <v>-35.0300145</v>
      </c>
      <c r="J26" s="341">
        <f>ROUND(VLOOKUP($E26,'BDEW-Standard'!$B$3:$M$154,J$9,0),7)</f>
        <v>6.2051109000000002</v>
      </c>
      <c r="K26" s="341">
        <f>ROUND(VLOOKUP($E26,'BDEW-Standard'!$B$3:$M$154,K$9,0),7)</f>
        <v>0.1058318</v>
      </c>
      <c r="L26" s="342">
        <f>ROUND(VLOOKUP($E26,'BDEW-Standard'!$B$3:$M$154,L$9,0),1)</f>
        <v>40</v>
      </c>
      <c r="M26" s="341">
        <f>ROUND(VLOOKUP($E26,'BDEW-Standard'!$B$3:$M$154,M$9,0),7)</f>
        <v>0</v>
      </c>
      <c r="N26" s="341">
        <f>ROUND(VLOOKUP($E26,'BDEW-Standard'!$B$3:$M$154,N$9,0),7)</f>
        <v>0</v>
      </c>
      <c r="O26" s="341">
        <f>ROUND(VLOOKUP($E26,'BDEW-Standard'!$B$3:$M$154,O$9,0),7)</f>
        <v>0</v>
      </c>
      <c r="P26" s="341">
        <f>ROUND(VLOOKUP($E26,'BDEW-Standard'!$B$3:$M$154,P$9,0),7)</f>
        <v>0</v>
      </c>
      <c r="Q26" s="338">
        <f t="shared" si="1"/>
        <v>1.0247084991768873</v>
      </c>
      <c r="R26" s="275">
        <f>ROUND(VLOOKUP(MID($E26,4,3),'Wochentag F(WT)'!$B$7:$J$22,R$9,0),4)</f>
        <v>1</v>
      </c>
      <c r="S26" s="275">
        <f>ROUND(VLOOKUP(MID($E26,4,3),'Wochentag F(WT)'!$B$7:$J$22,S$9,0),4)</f>
        <v>1</v>
      </c>
      <c r="T26" s="275">
        <f>ROUND(VLOOKUP(MID($E26,4,3),'Wochentag F(WT)'!$B$7:$J$22,T$9,0),4)</f>
        <v>1</v>
      </c>
      <c r="U26" s="275">
        <f>ROUND(VLOOKUP(MID($E26,4,3),'Wochentag F(WT)'!$B$7:$J$22,U$9,0),4)</f>
        <v>1</v>
      </c>
      <c r="V26" s="275">
        <f>ROUND(VLOOKUP(MID($E26,4,3),'Wochentag F(WT)'!$B$7:$J$22,V$9,0),4)</f>
        <v>1</v>
      </c>
      <c r="W26" s="275">
        <f>ROUND(VLOOKUP(MID($E26,4,3),'Wochentag F(WT)'!$B$7:$J$22,W$9,0),4)</f>
        <v>1</v>
      </c>
      <c r="X26" s="276">
        <f t="shared" si="2"/>
        <v>1</v>
      </c>
      <c r="Y26" s="293"/>
      <c r="Z26" s="211"/>
    </row>
    <row r="27" spans="2:26" s="143" customFormat="1">
      <c r="B27" s="144">
        <v>16</v>
      </c>
      <c r="C27" s="145" t="str">
        <f t="shared" si="0"/>
        <v>Netz Burgdorf H-Gas</v>
      </c>
      <c r="D27" s="62"/>
      <c r="E27" s="166"/>
      <c r="F27" s="297"/>
      <c r="H27" s="277"/>
      <c r="I27" s="277"/>
      <c r="J27" s="277"/>
      <c r="K27" s="277"/>
      <c r="L27" s="337"/>
      <c r="M27" s="277"/>
      <c r="N27" s="277"/>
      <c r="O27" s="277"/>
      <c r="P27" s="277"/>
      <c r="Q27" s="339"/>
      <c r="R27" s="278"/>
      <c r="S27" s="278"/>
      <c r="T27" s="278"/>
      <c r="U27" s="278"/>
      <c r="V27" s="278"/>
      <c r="W27" s="278"/>
      <c r="X27" s="279"/>
      <c r="Y27" s="293"/>
    </row>
    <row r="28" spans="2:26" s="143" customFormat="1">
      <c r="B28" s="144">
        <v>17</v>
      </c>
      <c r="C28" s="145" t="str">
        <f t="shared" si="0"/>
        <v>Netz Burgdorf H-Gas</v>
      </c>
      <c r="D28" s="62"/>
      <c r="E28" s="166"/>
      <c r="F28" s="297"/>
      <c r="H28" s="277"/>
      <c r="I28" s="277"/>
      <c r="J28" s="277"/>
      <c r="K28" s="277"/>
      <c r="L28" s="337"/>
      <c r="M28" s="277"/>
      <c r="N28" s="277"/>
      <c r="O28" s="277"/>
      <c r="P28" s="277"/>
      <c r="Q28" s="339"/>
      <c r="R28" s="278"/>
      <c r="S28" s="278"/>
      <c r="T28" s="278"/>
      <c r="U28" s="278"/>
      <c r="V28" s="278"/>
      <c r="W28" s="278"/>
      <c r="X28" s="279"/>
      <c r="Y28" s="293"/>
    </row>
    <row r="29" spans="2:26" s="143" customFormat="1">
      <c r="B29" s="144">
        <v>18</v>
      </c>
      <c r="C29" s="145" t="str">
        <f t="shared" si="0"/>
        <v>Netz Burgdorf H-Gas</v>
      </c>
      <c r="D29" s="62"/>
      <c r="E29" s="166"/>
      <c r="F29" s="297"/>
      <c r="H29" s="277"/>
      <c r="I29" s="277"/>
      <c r="J29" s="277"/>
      <c r="K29" s="277"/>
      <c r="L29" s="337"/>
      <c r="M29" s="277"/>
      <c r="N29" s="277"/>
      <c r="O29" s="277"/>
      <c r="P29" s="277"/>
      <c r="Q29" s="339"/>
      <c r="R29" s="278"/>
      <c r="S29" s="278"/>
      <c r="T29" s="278"/>
      <c r="U29" s="278"/>
      <c r="V29" s="278"/>
      <c r="W29" s="278"/>
      <c r="X29" s="279"/>
      <c r="Y29" s="293"/>
    </row>
    <row r="30" spans="2:26" s="143" customFormat="1">
      <c r="B30" s="144">
        <v>19</v>
      </c>
      <c r="C30" s="145" t="str">
        <f t="shared" si="0"/>
        <v>Netz Burgdorf H-Gas</v>
      </c>
      <c r="D30" s="62"/>
      <c r="E30" s="166"/>
      <c r="F30" s="297"/>
      <c r="H30" s="277"/>
      <c r="I30" s="277"/>
      <c r="J30" s="277"/>
      <c r="K30" s="277"/>
      <c r="L30" s="337"/>
      <c r="M30" s="277"/>
      <c r="N30" s="277"/>
      <c r="O30" s="277"/>
      <c r="P30" s="277"/>
      <c r="Q30" s="339"/>
      <c r="R30" s="278"/>
      <c r="S30" s="278"/>
      <c r="T30" s="278"/>
      <c r="U30" s="278"/>
      <c r="V30" s="278"/>
      <c r="W30" s="278"/>
      <c r="X30" s="279"/>
      <c r="Y30" s="293"/>
    </row>
    <row r="31" spans="2:26" s="143" customFormat="1">
      <c r="B31" s="144">
        <v>20</v>
      </c>
      <c r="C31" s="145" t="str">
        <f t="shared" si="0"/>
        <v>Netz Burgdorf H-Gas</v>
      </c>
      <c r="D31" s="62"/>
      <c r="E31" s="166"/>
      <c r="F31" s="297"/>
      <c r="H31" s="277"/>
      <c r="I31" s="277"/>
      <c r="J31" s="277"/>
      <c r="K31" s="277"/>
      <c r="L31" s="337"/>
      <c r="M31" s="277"/>
      <c r="N31" s="277"/>
      <c r="O31" s="277"/>
      <c r="P31" s="277"/>
      <c r="Q31" s="339"/>
      <c r="R31" s="278"/>
      <c r="S31" s="278"/>
      <c r="T31" s="278"/>
      <c r="U31" s="278"/>
      <c r="V31" s="278"/>
      <c r="W31" s="278"/>
      <c r="X31" s="279"/>
      <c r="Y31" s="293"/>
    </row>
    <row r="32" spans="2:26" s="143" customFormat="1">
      <c r="B32" s="144">
        <v>21</v>
      </c>
      <c r="C32" s="145" t="str">
        <f t="shared" si="0"/>
        <v>Netz Burgdorf H-Gas</v>
      </c>
      <c r="D32" s="62"/>
      <c r="E32" s="166"/>
      <c r="F32" s="297"/>
      <c r="H32" s="277"/>
      <c r="I32" s="277"/>
      <c r="J32" s="277"/>
      <c r="K32" s="277"/>
      <c r="L32" s="337"/>
      <c r="M32" s="277"/>
      <c r="N32" s="277"/>
      <c r="O32" s="277"/>
      <c r="P32" s="277"/>
      <c r="Q32" s="339"/>
      <c r="R32" s="278"/>
      <c r="S32" s="278"/>
      <c r="T32" s="278"/>
      <c r="U32" s="278"/>
      <c r="V32" s="278"/>
      <c r="W32" s="278"/>
      <c r="X32" s="279"/>
      <c r="Y32" s="293"/>
    </row>
    <row r="33" spans="2:25" s="143" customFormat="1">
      <c r="B33" s="144">
        <v>22</v>
      </c>
      <c r="C33" s="145" t="str">
        <f t="shared" si="0"/>
        <v>Netz Burgdorf H-Gas</v>
      </c>
      <c r="D33" s="62"/>
      <c r="E33" s="166"/>
      <c r="F33" s="297"/>
      <c r="H33" s="277"/>
      <c r="I33" s="277"/>
      <c r="J33" s="277"/>
      <c r="K33" s="277"/>
      <c r="L33" s="337"/>
      <c r="M33" s="277"/>
      <c r="N33" s="277"/>
      <c r="O33" s="277"/>
      <c r="P33" s="277"/>
      <c r="Q33" s="339"/>
      <c r="R33" s="278"/>
      <c r="S33" s="278"/>
      <c r="T33" s="278"/>
      <c r="U33" s="278"/>
      <c r="V33" s="278"/>
      <c r="W33" s="278"/>
      <c r="X33" s="279"/>
      <c r="Y33" s="293"/>
    </row>
    <row r="34" spans="2:25" s="143" customFormat="1">
      <c r="B34" s="144">
        <v>23</v>
      </c>
      <c r="C34" s="145" t="str">
        <f t="shared" si="0"/>
        <v>Netz Burgdorf H-Gas</v>
      </c>
      <c r="D34" s="62"/>
      <c r="E34" s="166"/>
      <c r="F34" s="297"/>
      <c r="H34" s="277"/>
      <c r="I34" s="277"/>
      <c r="J34" s="277"/>
      <c r="K34" s="277"/>
      <c r="L34" s="337"/>
      <c r="M34" s="277"/>
      <c r="N34" s="277"/>
      <c r="O34" s="277"/>
      <c r="P34" s="277"/>
      <c r="Q34" s="339"/>
      <c r="R34" s="278"/>
      <c r="S34" s="278"/>
      <c r="T34" s="278"/>
      <c r="U34" s="278"/>
      <c r="V34" s="278"/>
      <c r="W34" s="278"/>
      <c r="X34" s="279"/>
      <c r="Y34" s="293"/>
    </row>
    <row r="35" spans="2:25" s="143" customFormat="1">
      <c r="B35" s="144">
        <v>24</v>
      </c>
      <c r="C35" s="145" t="str">
        <f t="shared" si="0"/>
        <v>Netz Burgdorf H-Gas</v>
      </c>
      <c r="D35" s="62"/>
      <c r="E35" s="166"/>
      <c r="F35" s="297"/>
      <c r="H35" s="277"/>
      <c r="I35" s="277"/>
      <c r="J35" s="277"/>
      <c r="K35" s="277"/>
      <c r="L35" s="337"/>
      <c r="M35" s="277"/>
      <c r="N35" s="277"/>
      <c r="O35" s="277"/>
      <c r="P35" s="277"/>
      <c r="Q35" s="339"/>
      <c r="R35" s="278"/>
      <c r="S35" s="278"/>
      <c r="T35" s="278"/>
      <c r="U35" s="278"/>
      <c r="V35" s="278"/>
      <c r="W35" s="278"/>
      <c r="X35" s="279"/>
      <c r="Y35" s="293"/>
    </row>
    <row r="36" spans="2:25" s="143" customFormat="1">
      <c r="B36" s="144">
        <v>25</v>
      </c>
      <c r="C36" s="145" t="str">
        <f t="shared" si="0"/>
        <v>Netz Burgdorf H-Gas</v>
      </c>
      <c r="D36" s="62"/>
      <c r="E36" s="166"/>
      <c r="F36" s="297"/>
      <c r="H36" s="277"/>
      <c r="I36" s="277"/>
      <c r="J36" s="277"/>
      <c r="K36" s="277"/>
      <c r="L36" s="337"/>
      <c r="M36" s="277"/>
      <c r="N36" s="277"/>
      <c r="O36" s="277"/>
      <c r="P36" s="277"/>
      <c r="Q36" s="339"/>
      <c r="R36" s="278"/>
      <c r="S36" s="278"/>
      <c r="T36" s="278"/>
      <c r="U36" s="278"/>
      <c r="V36" s="278"/>
      <c r="W36" s="278"/>
      <c r="X36" s="279"/>
      <c r="Y36" s="293"/>
    </row>
    <row r="37" spans="2:25" s="143" customFormat="1">
      <c r="B37" s="144">
        <v>26</v>
      </c>
      <c r="C37" s="145" t="str">
        <f t="shared" si="0"/>
        <v>Netz Burgdorf H-Gas</v>
      </c>
      <c r="D37" s="62"/>
      <c r="E37" s="166"/>
      <c r="F37" s="297"/>
      <c r="H37" s="277"/>
      <c r="I37" s="277"/>
      <c r="J37" s="277"/>
      <c r="K37" s="277"/>
      <c r="L37" s="337"/>
      <c r="M37" s="277"/>
      <c r="N37" s="277"/>
      <c r="O37" s="277"/>
      <c r="P37" s="277"/>
      <c r="Q37" s="339"/>
      <c r="R37" s="278"/>
      <c r="S37" s="278"/>
      <c r="T37" s="278"/>
      <c r="U37" s="278"/>
      <c r="V37" s="278"/>
      <c r="W37" s="278"/>
      <c r="X37" s="279"/>
      <c r="Y37" s="293"/>
    </row>
    <row r="38" spans="2:25" s="143" customFormat="1">
      <c r="B38" s="144">
        <v>27</v>
      </c>
      <c r="C38" s="145" t="str">
        <f t="shared" si="0"/>
        <v>Netz Burgdorf H-Gas</v>
      </c>
      <c r="D38" s="62"/>
      <c r="E38" s="166"/>
      <c r="F38" s="297"/>
      <c r="H38" s="277"/>
      <c r="I38" s="277"/>
      <c r="J38" s="277"/>
      <c r="K38" s="277"/>
      <c r="L38" s="337"/>
      <c r="M38" s="277"/>
      <c r="N38" s="277"/>
      <c r="O38" s="277"/>
      <c r="P38" s="277"/>
      <c r="Q38" s="339"/>
      <c r="R38" s="278"/>
      <c r="S38" s="278"/>
      <c r="T38" s="278"/>
      <c r="U38" s="278"/>
      <c r="V38" s="278"/>
      <c r="W38" s="278"/>
      <c r="X38" s="279"/>
      <c r="Y38" s="293"/>
    </row>
    <row r="39" spans="2:25" s="143" customFormat="1">
      <c r="B39" s="144">
        <v>28</v>
      </c>
      <c r="C39" s="145" t="str">
        <f t="shared" si="0"/>
        <v>Netz Burgdorf H-Gas</v>
      </c>
      <c r="D39" s="62"/>
      <c r="E39" s="166"/>
      <c r="F39" s="297"/>
      <c r="H39" s="277"/>
      <c r="I39" s="277"/>
      <c r="J39" s="277"/>
      <c r="K39" s="277"/>
      <c r="L39" s="337"/>
      <c r="M39" s="277"/>
      <c r="N39" s="277"/>
      <c r="O39" s="277"/>
      <c r="P39" s="277"/>
      <c r="Q39" s="339"/>
      <c r="R39" s="278"/>
      <c r="S39" s="278"/>
      <c r="T39" s="278"/>
      <c r="U39" s="278"/>
      <c r="V39" s="278"/>
      <c r="W39" s="278"/>
      <c r="X39" s="279"/>
      <c r="Y39" s="293"/>
    </row>
    <row r="40" spans="2:25" s="143" customFormat="1">
      <c r="B40" s="144">
        <v>29</v>
      </c>
      <c r="C40" s="145" t="str">
        <f t="shared" si="0"/>
        <v>Netz Burgdorf H-Gas</v>
      </c>
      <c r="D40" s="62"/>
      <c r="E40" s="166"/>
      <c r="F40" s="297"/>
      <c r="H40" s="277"/>
      <c r="I40" s="277"/>
      <c r="J40" s="277"/>
      <c r="K40" s="277"/>
      <c r="L40" s="337"/>
      <c r="M40" s="277"/>
      <c r="N40" s="277"/>
      <c r="O40" s="277"/>
      <c r="P40" s="277"/>
      <c r="Q40" s="339"/>
      <c r="R40" s="278"/>
      <c r="S40" s="278"/>
      <c r="T40" s="278"/>
      <c r="U40" s="278"/>
      <c r="V40" s="278"/>
      <c r="W40" s="278"/>
      <c r="X40" s="279"/>
      <c r="Y40" s="293"/>
    </row>
    <row r="41" spans="2:25" s="143" customFormat="1">
      <c r="B41" s="144">
        <v>30</v>
      </c>
      <c r="C41" s="145" t="str">
        <f t="shared" si="0"/>
        <v>Netz Burgdorf H-Gas</v>
      </c>
      <c r="D41" s="62"/>
      <c r="E41" s="166"/>
      <c r="F41" s="297"/>
      <c r="H41" s="277"/>
      <c r="I41" s="277"/>
      <c r="J41" s="277"/>
      <c r="K41" s="277"/>
      <c r="L41" s="337"/>
      <c r="M41" s="277"/>
      <c r="N41" s="277"/>
      <c r="O41" s="277"/>
      <c r="P41" s="277"/>
      <c r="Q41" s="339"/>
      <c r="R41" s="278"/>
      <c r="S41" s="278"/>
      <c r="T41" s="278"/>
      <c r="U41" s="278"/>
      <c r="V41" s="278"/>
      <c r="W41" s="278"/>
      <c r="X41" s="279"/>
      <c r="Y41" s="29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M11:P41 R11:Y41 F11:F41 H11:K41 L25:P26">
    <cfRule type="expression" dxfId="9" priority="11">
      <formula>ISERROR(F11)</formula>
    </cfRule>
  </conditionalFormatting>
  <conditionalFormatting sqref="Y12:Y41 E12:F41">
    <cfRule type="duplicateValues" dxfId="8" priority="33"/>
  </conditionalFormatting>
  <conditionalFormatting sqref="L11:L41">
    <cfRule type="expression" dxfId="7" priority="2">
      <formula>ISERROR(L11)</formula>
    </cfRule>
  </conditionalFormatting>
  <conditionalFormatting sqref="Q11:Q41">
    <cfRule type="expression" dxfId="6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5:F18 H12:K24 C13:C33 C34:C41 M12:X24 F22:F23 R26:X26 R25:X25" unlockedFormula="1"/>
    <ignoredError sqref="L12:L24" formula="1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topLeftCell="A4" zoomScale="80" zoomScaleNormal="80" workbookViewId="0">
      <selection activeCell="S27" sqref="S27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Stadtwerke Burgdorf Netz GmbH</v>
      </c>
      <c r="D4" s="76"/>
      <c r="G4" s="76"/>
      <c r="I4" s="76"/>
      <c r="J4" s="77"/>
      <c r="M4" s="86" t="s">
        <v>541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447</v>
      </c>
      <c r="C5" s="64" t="str">
        <f>Netzbetreiber!$D$28</f>
        <v>Netz Burgdorf H-Gas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445</v>
      </c>
      <c r="C6" s="63" t="str">
        <f>Netzbetreiber!$D$11</f>
        <v>98701054000004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42675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6" t="s">
        <v>461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373</v>
      </c>
      <c r="O9" s="92" t="s">
        <v>374</v>
      </c>
      <c r="P9" s="92" t="s">
        <v>375</v>
      </c>
      <c r="Q9" s="92" t="s">
        <v>376</v>
      </c>
      <c r="R9" s="92" t="s">
        <v>377</v>
      </c>
      <c r="S9" s="92" t="s">
        <v>378</v>
      </c>
      <c r="T9" s="92" t="s">
        <v>379</v>
      </c>
      <c r="U9" s="92" t="s">
        <v>380</v>
      </c>
      <c r="V9" s="92" t="s">
        <v>381</v>
      </c>
      <c r="W9" s="92" t="s">
        <v>382</v>
      </c>
      <c r="X9" s="92" t="s">
        <v>383</v>
      </c>
      <c r="Y9" s="92" t="s">
        <v>384</v>
      </c>
      <c r="Z9" s="92" t="s">
        <v>385</v>
      </c>
      <c r="AA9" s="92" t="s">
        <v>386</v>
      </c>
      <c r="AB9" s="92" t="s">
        <v>387</v>
      </c>
      <c r="AC9" s="93" t="s">
        <v>388</v>
      </c>
      <c r="AD9" s="93" t="s">
        <v>430</v>
      </c>
    </row>
    <row r="10" spans="2:30" ht="72" customHeight="1" thickBot="1">
      <c r="B10" s="351" t="s">
        <v>585</v>
      </c>
      <c r="C10" s="352"/>
      <c r="D10" s="94">
        <v>2</v>
      </c>
      <c r="E10" s="95" t="str">
        <f>IF(ISERROR(HLOOKUP(E$11,$M$9:$AD$33,$D10,0)),"",HLOOKUP(E$11,$M$9:$AD$33,$D10,0))</f>
        <v xml:space="preserve">Nieder-sachsen  </v>
      </c>
      <c r="F10" s="349" t="s">
        <v>399</v>
      </c>
      <c r="G10" s="349"/>
      <c r="H10" s="349"/>
      <c r="I10" s="349"/>
      <c r="J10" s="349"/>
      <c r="K10" s="349"/>
      <c r="L10" s="350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99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431</v>
      </c>
    </row>
    <row r="11" spans="2:30" ht="15.75" thickBot="1">
      <c r="B11" s="102" t="s">
        <v>422</v>
      </c>
      <c r="C11" s="103"/>
      <c r="D11" s="104">
        <v>3</v>
      </c>
      <c r="E11" s="105" t="s">
        <v>676</v>
      </c>
      <c r="F11" s="106" t="s">
        <v>390</v>
      </c>
      <c r="G11" s="107" t="s">
        <v>391</v>
      </c>
      <c r="H11" s="107" t="s">
        <v>392</v>
      </c>
      <c r="I11" s="107" t="s">
        <v>393</v>
      </c>
      <c r="J11" s="107" t="s">
        <v>394</v>
      </c>
      <c r="K11" s="107" t="s">
        <v>395</v>
      </c>
      <c r="L11" s="108" t="s">
        <v>396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400</v>
      </c>
      <c r="C12" s="110"/>
      <c r="D12" s="111">
        <v>4</v>
      </c>
      <c r="E12" s="304">
        <f>MIN(SUMPRODUCT($M$11:$AD$11,M12:AD12),1)</f>
        <v>1</v>
      </c>
      <c r="F12" s="301" t="s">
        <v>396</v>
      </c>
      <c r="G12" s="78" t="s">
        <v>396</v>
      </c>
      <c r="H12" s="78" t="s">
        <v>396</v>
      </c>
      <c r="I12" s="78" t="s">
        <v>396</v>
      </c>
      <c r="J12" s="78" t="s">
        <v>396</v>
      </c>
      <c r="K12" s="78" t="s">
        <v>396</v>
      </c>
      <c r="L12" s="79" t="s">
        <v>396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401</v>
      </c>
      <c r="C13" s="117"/>
      <c r="D13" s="111">
        <v>5</v>
      </c>
      <c r="E13" s="305">
        <f t="shared" ref="E13:E33" si="0">MIN(SUMPRODUCT($M$11:$AD$11,M13:AD13),1)</f>
        <v>0</v>
      </c>
      <c r="F13" s="302" t="s">
        <v>396</v>
      </c>
      <c r="G13" s="80" t="s">
        <v>396</v>
      </c>
      <c r="H13" s="80" t="s">
        <v>396</v>
      </c>
      <c r="I13" s="80" t="s">
        <v>396</v>
      </c>
      <c r="J13" s="80" t="s">
        <v>396</v>
      </c>
      <c r="K13" s="80" t="s">
        <v>396</v>
      </c>
      <c r="L13" s="81" t="s">
        <v>396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402</v>
      </c>
      <c r="C14" s="117"/>
      <c r="D14" s="111">
        <v>6</v>
      </c>
      <c r="E14" s="305">
        <f t="shared" si="0"/>
        <v>0</v>
      </c>
      <c r="F14" s="302" t="s">
        <v>396</v>
      </c>
      <c r="G14" s="80" t="s">
        <v>403</v>
      </c>
      <c r="H14" s="80" t="s">
        <v>403</v>
      </c>
      <c r="I14" s="80" t="s">
        <v>403</v>
      </c>
      <c r="J14" s="80" t="s">
        <v>403</v>
      </c>
      <c r="K14" s="80" t="s">
        <v>403</v>
      </c>
      <c r="L14" s="81" t="s">
        <v>403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404</v>
      </c>
      <c r="C15" s="117"/>
      <c r="D15" s="111">
        <v>7</v>
      </c>
      <c r="E15" s="305">
        <f t="shared" si="0"/>
        <v>0</v>
      </c>
      <c r="F15" s="302" t="s">
        <v>403</v>
      </c>
      <c r="G15" s="80" t="s">
        <v>395</v>
      </c>
      <c r="H15" s="80" t="s">
        <v>403</v>
      </c>
      <c r="I15" s="80" t="s">
        <v>403</v>
      </c>
      <c r="J15" s="80" t="s">
        <v>403</v>
      </c>
      <c r="K15" s="80" t="s">
        <v>403</v>
      </c>
      <c r="L15" s="81" t="s">
        <v>403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416</v>
      </c>
      <c r="C16" s="117"/>
      <c r="D16" s="111">
        <v>8</v>
      </c>
      <c r="E16" s="305">
        <f t="shared" si="0"/>
        <v>1</v>
      </c>
      <c r="F16" s="302" t="s">
        <v>403</v>
      </c>
      <c r="G16" s="80" t="s">
        <v>403</v>
      </c>
      <c r="H16" s="80" t="s">
        <v>403</v>
      </c>
      <c r="I16" s="80" t="s">
        <v>403</v>
      </c>
      <c r="J16" s="80" t="s">
        <v>396</v>
      </c>
      <c r="K16" s="80" t="s">
        <v>403</v>
      </c>
      <c r="L16" s="81" t="s">
        <v>403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417</v>
      </c>
      <c r="C17" s="117"/>
      <c r="D17" s="111">
        <v>9</v>
      </c>
      <c r="E17" s="305">
        <f t="shared" si="0"/>
        <v>1</v>
      </c>
      <c r="F17" s="302" t="s">
        <v>403</v>
      </c>
      <c r="G17" s="80" t="s">
        <v>403</v>
      </c>
      <c r="H17" s="80" t="s">
        <v>403</v>
      </c>
      <c r="I17" s="80" t="s">
        <v>403</v>
      </c>
      <c r="J17" s="80" t="s">
        <v>403</v>
      </c>
      <c r="K17" s="80" t="s">
        <v>403</v>
      </c>
      <c r="L17" s="81" t="s">
        <v>396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418</v>
      </c>
      <c r="C18" s="117"/>
      <c r="D18" s="111">
        <v>10</v>
      </c>
      <c r="E18" s="305">
        <f t="shared" si="0"/>
        <v>1</v>
      </c>
      <c r="F18" s="302" t="s">
        <v>396</v>
      </c>
      <c r="G18" s="80" t="s">
        <v>403</v>
      </c>
      <c r="H18" s="80" t="s">
        <v>403</v>
      </c>
      <c r="I18" s="80" t="s">
        <v>403</v>
      </c>
      <c r="J18" s="80" t="s">
        <v>403</v>
      </c>
      <c r="K18" s="80" t="s">
        <v>403</v>
      </c>
      <c r="L18" s="81" t="s">
        <v>403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405</v>
      </c>
      <c r="C19" s="117"/>
      <c r="D19" s="111">
        <v>11</v>
      </c>
      <c r="E19" s="305">
        <f t="shared" si="0"/>
        <v>1</v>
      </c>
      <c r="F19" s="302" t="s">
        <v>396</v>
      </c>
      <c r="G19" s="80" t="s">
        <v>396</v>
      </c>
      <c r="H19" s="80" t="s">
        <v>396</v>
      </c>
      <c r="I19" s="80" t="s">
        <v>396</v>
      </c>
      <c r="J19" s="80" t="s">
        <v>396</v>
      </c>
      <c r="K19" s="80" t="s">
        <v>396</v>
      </c>
      <c r="L19" s="81" t="s">
        <v>396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651</v>
      </c>
      <c r="C20" s="117"/>
      <c r="D20" s="111">
        <v>12</v>
      </c>
      <c r="E20" s="305">
        <f t="shared" si="0"/>
        <v>1</v>
      </c>
      <c r="F20" s="302" t="s">
        <v>403</v>
      </c>
      <c r="G20" s="80" t="s">
        <v>403</v>
      </c>
      <c r="H20" s="80" t="s">
        <v>403</v>
      </c>
      <c r="I20" s="80" t="s">
        <v>396</v>
      </c>
      <c r="J20" s="80" t="s">
        <v>403</v>
      </c>
      <c r="K20" s="80" t="s">
        <v>403</v>
      </c>
      <c r="L20" s="81" t="s">
        <v>403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419</v>
      </c>
      <c r="C21" s="117"/>
      <c r="D21" s="111">
        <v>13</v>
      </c>
      <c r="E21" s="305">
        <f t="shared" si="0"/>
        <v>1</v>
      </c>
      <c r="F21" s="302" t="s">
        <v>403</v>
      </c>
      <c r="G21" s="80" t="s">
        <v>403</v>
      </c>
      <c r="H21" s="80" t="s">
        <v>403</v>
      </c>
      <c r="I21" s="80" t="s">
        <v>403</v>
      </c>
      <c r="J21" s="80" t="s">
        <v>403</v>
      </c>
      <c r="K21" s="80" t="s">
        <v>403</v>
      </c>
      <c r="L21" s="81" t="s">
        <v>396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420</v>
      </c>
      <c r="C22" s="117"/>
      <c r="D22" s="111">
        <v>14</v>
      </c>
      <c r="E22" s="305">
        <f t="shared" si="0"/>
        <v>1</v>
      </c>
      <c r="F22" s="302" t="s">
        <v>396</v>
      </c>
      <c r="G22" s="80" t="s">
        <v>403</v>
      </c>
      <c r="H22" s="80" t="s">
        <v>403</v>
      </c>
      <c r="I22" s="80" t="s">
        <v>403</v>
      </c>
      <c r="J22" s="80" t="s">
        <v>403</v>
      </c>
      <c r="K22" s="80" t="s">
        <v>403</v>
      </c>
      <c r="L22" s="81" t="s">
        <v>403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421</v>
      </c>
      <c r="C23" s="117"/>
      <c r="D23" s="111">
        <v>15</v>
      </c>
      <c r="E23" s="305">
        <f t="shared" si="0"/>
        <v>0</v>
      </c>
      <c r="F23" s="302" t="s">
        <v>403</v>
      </c>
      <c r="G23" s="80" t="s">
        <v>403</v>
      </c>
      <c r="H23" s="80" t="s">
        <v>403</v>
      </c>
      <c r="I23" s="80" t="s">
        <v>396</v>
      </c>
      <c r="J23" s="80" t="s">
        <v>403</v>
      </c>
      <c r="K23" s="80" t="s">
        <v>403</v>
      </c>
      <c r="L23" s="81" t="s">
        <v>403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406</v>
      </c>
      <c r="C24" s="117"/>
      <c r="D24" s="111">
        <v>16</v>
      </c>
      <c r="E24" s="305">
        <f t="shared" si="0"/>
        <v>0</v>
      </c>
      <c r="F24" s="302" t="s">
        <v>396</v>
      </c>
      <c r="G24" s="80" t="s">
        <v>396</v>
      </c>
      <c r="H24" s="80" t="s">
        <v>396</v>
      </c>
      <c r="I24" s="80" t="s">
        <v>396</v>
      </c>
      <c r="J24" s="80" t="s">
        <v>396</v>
      </c>
      <c r="K24" s="80" t="s">
        <v>396</v>
      </c>
      <c r="L24" s="81" t="s">
        <v>396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407</v>
      </c>
      <c r="C25" s="117"/>
      <c r="D25" s="111">
        <v>17</v>
      </c>
      <c r="E25" s="305">
        <f t="shared" si="0"/>
        <v>0</v>
      </c>
      <c r="F25" s="302" t="s">
        <v>396</v>
      </c>
      <c r="G25" s="80" t="s">
        <v>396</v>
      </c>
      <c r="H25" s="80" t="s">
        <v>396</v>
      </c>
      <c r="I25" s="80" t="s">
        <v>396</v>
      </c>
      <c r="J25" s="80" t="s">
        <v>396</v>
      </c>
      <c r="K25" s="80" t="s">
        <v>396</v>
      </c>
      <c r="L25" s="81" t="s">
        <v>396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408</v>
      </c>
      <c r="C26" s="117"/>
      <c r="D26" s="111">
        <v>18</v>
      </c>
      <c r="E26" s="305">
        <f t="shared" si="0"/>
        <v>1</v>
      </c>
      <c r="F26" s="302" t="s">
        <v>396</v>
      </c>
      <c r="G26" s="80" t="s">
        <v>396</v>
      </c>
      <c r="H26" s="80" t="s">
        <v>396</v>
      </c>
      <c r="I26" s="80" t="s">
        <v>396</v>
      </c>
      <c r="J26" s="80" t="s">
        <v>396</v>
      </c>
      <c r="K26" s="80" t="s">
        <v>396</v>
      </c>
      <c r="L26" s="81" t="s">
        <v>396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409</v>
      </c>
      <c r="C27" s="117"/>
      <c r="D27" s="111">
        <v>19</v>
      </c>
      <c r="E27" s="305">
        <f t="shared" si="0"/>
        <v>0</v>
      </c>
      <c r="F27" s="302" t="s">
        <v>396</v>
      </c>
      <c r="G27" s="80" t="s">
        <v>396</v>
      </c>
      <c r="H27" s="80" t="s">
        <v>396</v>
      </c>
      <c r="I27" s="80" t="s">
        <v>396</v>
      </c>
      <c r="J27" s="80" t="s">
        <v>396</v>
      </c>
      <c r="K27" s="80" t="s">
        <v>396</v>
      </c>
      <c r="L27" s="81" t="s">
        <v>396</v>
      </c>
      <c r="M27" s="112"/>
      <c r="N27" s="118"/>
      <c r="O27" s="119"/>
      <c r="P27" s="119"/>
      <c r="Q27" s="119"/>
      <c r="R27" s="119"/>
      <c r="S27" s="119">
        <v>1</v>
      </c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410</v>
      </c>
      <c r="C28" s="117"/>
      <c r="D28" s="111">
        <v>20</v>
      </c>
      <c r="E28" s="305">
        <f t="shared" si="0"/>
        <v>0</v>
      </c>
      <c r="F28" s="302" t="s">
        <v>396</v>
      </c>
      <c r="G28" s="80" t="s">
        <v>396</v>
      </c>
      <c r="H28" s="80" t="s">
        <v>396</v>
      </c>
      <c r="I28" s="80" t="s">
        <v>396</v>
      </c>
      <c r="J28" s="80" t="s">
        <v>396</v>
      </c>
      <c r="K28" s="80" t="s">
        <v>396</v>
      </c>
      <c r="L28" s="81" t="s">
        <v>396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411</v>
      </c>
      <c r="C29" s="117"/>
      <c r="D29" s="111">
        <v>21</v>
      </c>
      <c r="E29" s="305">
        <f t="shared" si="0"/>
        <v>0</v>
      </c>
      <c r="F29" s="302" t="s">
        <v>403</v>
      </c>
      <c r="G29" s="80" t="s">
        <v>403</v>
      </c>
      <c r="H29" s="80" t="s">
        <v>396</v>
      </c>
      <c r="I29" s="80" t="s">
        <v>403</v>
      </c>
      <c r="J29" s="80" t="s">
        <v>403</v>
      </c>
      <c r="K29" s="80" t="s">
        <v>403</v>
      </c>
      <c r="L29" s="81" t="s">
        <v>403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412</v>
      </c>
      <c r="C30" s="117"/>
      <c r="D30" s="111">
        <v>22</v>
      </c>
      <c r="E30" s="305">
        <f t="shared" si="0"/>
        <v>0</v>
      </c>
      <c r="F30" s="302" t="s">
        <v>395</v>
      </c>
      <c r="G30" s="80" t="s">
        <v>395</v>
      </c>
      <c r="H30" s="80" t="s">
        <v>395</v>
      </c>
      <c r="I30" s="80" t="s">
        <v>395</v>
      </c>
      <c r="J30" s="80" t="s">
        <v>395</v>
      </c>
      <c r="K30" s="80" t="s">
        <v>395</v>
      </c>
      <c r="L30" s="81" t="s">
        <v>396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413</v>
      </c>
      <c r="C31" s="117"/>
      <c r="D31" s="111">
        <v>23</v>
      </c>
      <c r="E31" s="305">
        <f t="shared" si="0"/>
        <v>1</v>
      </c>
      <c r="F31" s="302" t="s">
        <v>396</v>
      </c>
      <c r="G31" s="80" t="s">
        <v>396</v>
      </c>
      <c r="H31" s="80" t="s">
        <v>396</v>
      </c>
      <c r="I31" s="80" t="s">
        <v>396</v>
      </c>
      <c r="J31" s="80" t="s">
        <v>396</v>
      </c>
      <c r="K31" s="80" t="s">
        <v>396</v>
      </c>
      <c r="L31" s="81" t="s">
        <v>396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414</v>
      </c>
      <c r="C32" s="117"/>
      <c r="D32" s="111">
        <v>24</v>
      </c>
      <c r="E32" s="305">
        <f t="shared" si="0"/>
        <v>1</v>
      </c>
      <c r="F32" s="302" t="s">
        <v>396</v>
      </c>
      <c r="G32" s="80" t="s">
        <v>396</v>
      </c>
      <c r="H32" s="80" t="s">
        <v>396</v>
      </c>
      <c r="I32" s="80" t="s">
        <v>396</v>
      </c>
      <c r="J32" s="80" t="s">
        <v>396</v>
      </c>
      <c r="K32" s="80" t="s">
        <v>396</v>
      </c>
      <c r="L32" s="81" t="s">
        <v>396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415</v>
      </c>
      <c r="C33" s="123"/>
      <c r="D33" s="124">
        <v>25</v>
      </c>
      <c r="E33" s="306">
        <f t="shared" si="0"/>
        <v>0</v>
      </c>
      <c r="F33" s="303" t="s">
        <v>395</v>
      </c>
      <c r="G33" s="82" t="s">
        <v>395</v>
      </c>
      <c r="H33" s="82" t="s">
        <v>395</v>
      </c>
      <c r="I33" s="82" t="s">
        <v>395</v>
      </c>
      <c r="J33" s="82" t="s">
        <v>395</v>
      </c>
      <c r="K33" s="82" t="s">
        <v>395</v>
      </c>
      <c r="L33" s="83" t="s">
        <v>396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20" zoomScale="80" zoomScaleNormal="80" workbookViewId="0">
      <selection activeCell="B130" sqref="B130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2" t="s">
        <v>348</v>
      </c>
      <c r="B1" s="213">
        <v>42173</v>
      </c>
      <c r="D1" s="131" t="s">
        <v>457</v>
      </c>
      <c r="F1" s="214" t="s">
        <v>547</v>
      </c>
      <c r="N1" s="215"/>
    </row>
    <row r="2" spans="1:14" ht="25.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7">
        <v>3.0469694600000001</v>
      </c>
      <c r="F3" s="308">
        <v>-37.183314129999999</v>
      </c>
      <c r="G3" s="307">
        <v>5.6727846619999998</v>
      </c>
      <c r="H3" s="307">
        <v>9.6193059999999997E-2</v>
      </c>
      <c r="I3" s="309">
        <v>40</v>
      </c>
      <c r="J3" s="310">
        <v>0</v>
      </c>
      <c r="K3" s="310">
        <v>0</v>
      </c>
      <c r="L3" s="310">
        <v>0</v>
      </c>
      <c r="M3" s="31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7">
        <v>3.1850191300000001</v>
      </c>
      <c r="F4" s="307">
        <v>-37.412415490000001</v>
      </c>
      <c r="G4" s="307">
        <v>6.1723178729999999</v>
      </c>
      <c r="H4" s="307">
        <v>7.6109594000000003E-2</v>
      </c>
      <c r="I4" s="309">
        <v>40</v>
      </c>
      <c r="J4" s="310">
        <v>0</v>
      </c>
      <c r="K4" s="310">
        <v>0</v>
      </c>
      <c r="L4" s="310">
        <v>0</v>
      </c>
      <c r="M4" s="31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7">
        <v>3.3456666720000001</v>
      </c>
      <c r="F5" s="307">
        <v>-37.52683159</v>
      </c>
      <c r="G5" s="307">
        <v>6.4328936829999996</v>
      </c>
      <c r="H5" s="307">
        <v>5.6256618000000001E-2</v>
      </c>
      <c r="I5" s="309">
        <v>40</v>
      </c>
      <c r="J5" s="310">
        <v>0</v>
      </c>
      <c r="K5" s="310">
        <v>0</v>
      </c>
      <c r="L5" s="310">
        <v>0</v>
      </c>
      <c r="M5" s="31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12">
        <v>1.6209544222121799</v>
      </c>
      <c r="F6" s="312">
        <v>-37.183314129999999</v>
      </c>
      <c r="G6" s="312">
        <v>5.6727846619999998</v>
      </c>
      <c r="H6" s="312">
        <v>7.16431179426293E-2</v>
      </c>
      <c r="I6" s="313">
        <v>40</v>
      </c>
      <c r="J6" s="314">
        <v>-4.9570015603147999E-2</v>
      </c>
      <c r="K6" s="314">
        <v>0.84010145808052905</v>
      </c>
      <c r="L6" s="314">
        <v>-2.20902646706885E-3</v>
      </c>
      <c r="M6" s="31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6">
        <v>1.3819663042902499</v>
      </c>
      <c r="F7" s="316">
        <v>-37.412415490000001</v>
      </c>
      <c r="G7" s="316">
        <v>6.1723178729999999</v>
      </c>
      <c r="H7" s="316">
        <v>3.9628356395288999E-2</v>
      </c>
      <c r="I7" s="317">
        <v>40</v>
      </c>
      <c r="J7" s="318">
        <v>-6.7215872937749402E-2</v>
      </c>
      <c r="K7" s="318">
        <v>1.1167138385159201</v>
      </c>
      <c r="L7" s="318">
        <v>-1.9981647687711602E-3</v>
      </c>
      <c r="M7" s="31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7">
        <v>2.387761791</v>
      </c>
      <c r="F8" s="307">
        <v>-34.721360509999997</v>
      </c>
      <c r="G8" s="307">
        <v>5.8164304019999999</v>
      </c>
      <c r="H8" s="307">
        <v>0.120819368</v>
      </c>
      <c r="I8" s="309">
        <v>40</v>
      </c>
      <c r="J8" s="310">
        <v>0</v>
      </c>
      <c r="K8" s="310">
        <v>0</v>
      </c>
      <c r="L8" s="310">
        <v>0</v>
      </c>
      <c r="M8" s="31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7">
        <v>2.5187775189999999</v>
      </c>
      <c r="F9" s="307">
        <v>-35.033375419999999</v>
      </c>
      <c r="G9" s="307">
        <v>6.224063396</v>
      </c>
      <c r="H9" s="307">
        <v>0.10107817199999999</v>
      </c>
      <c r="I9" s="309">
        <v>40</v>
      </c>
      <c r="J9" s="310">
        <v>0</v>
      </c>
      <c r="K9" s="310">
        <v>0</v>
      </c>
      <c r="L9" s="310">
        <v>0</v>
      </c>
      <c r="M9" s="31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7">
        <v>2.656440592</v>
      </c>
      <c r="F10" s="307">
        <v>-35.251692669999997</v>
      </c>
      <c r="G10" s="307">
        <v>6.5182658619999998</v>
      </c>
      <c r="H10" s="307">
        <v>8.1205866000000002E-2</v>
      </c>
      <c r="I10" s="309">
        <v>40</v>
      </c>
      <c r="J10" s="310">
        <v>0</v>
      </c>
      <c r="K10" s="310">
        <v>0</v>
      </c>
      <c r="L10" s="310">
        <v>0</v>
      </c>
      <c r="M10" s="31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12">
        <v>1.2328654654123199</v>
      </c>
      <c r="F11" s="312">
        <v>-34.721360509999997</v>
      </c>
      <c r="G11" s="312">
        <v>5.8164304019999999</v>
      </c>
      <c r="H11" s="312">
        <v>8.7335193020600194E-2</v>
      </c>
      <c r="I11" s="313">
        <v>40</v>
      </c>
      <c r="J11" s="314">
        <v>-4.0928399400390697E-2</v>
      </c>
      <c r="K11" s="314">
        <v>0.76729203945074098</v>
      </c>
      <c r="L11" s="314">
        <v>-2.23202741619469E-3</v>
      </c>
      <c r="M11" s="31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6">
        <v>1.0443537680583199</v>
      </c>
      <c r="F12" s="316">
        <v>-35.033375419999999</v>
      </c>
      <c r="G12" s="316">
        <v>6.224063396</v>
      </c>
      <c r="H12" s="316">
        <v>5.0291716040989698E-2</v>
      </c>
      <c r="I12" s="317">
        <v>40</v>
      </c>
      <c r="J12" s="318">
        <v>-5.3583022235768898E-2</v>
      </c>
      <c r="K12" s="318">
        <v>0.99959009039973401</v>
      </c>
      <c r="L12" s="318">
        <v>-2.17584483209612E-3</v>
      </c>
      <c r="M12" s="31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4" t="s">
        <v>654</v>
      </c>
      <c r="E13" s="307">
        <v>0.40409319999999999</v>
      </c>
      <c r="F13" s="307">
        <v>-24.439296800000001</v>
      </c>
      <c r="G13" s="307">
        <v>6.5718174999999999</v>
      </c>
      <c r="H13" s="307">
        <v>0.71077100000000004</v>
      </c>
      <c r="I13" s="309">
        <v>40</v>
      </c>
      <c r="J13" s="310">
        <v>0</v>
      </c>
      <c r="K13" s="310">
        <v>0</v>
      </c>
      <c r="L13" s="310">
        <v>0</v>
      </c>
      <c r="M13" s="31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7">
        <v>1.8644533640000001</v>
      </c>
      <c r="F14" s="307">
        <v>-30.707163250000001</v>
      </c>
      <c r="G14" s="307">
        <v>6.4626937309999999</v>
      </c>
      <c r="H14" s="307">
        <v>0.104833866</v>
      </c>
      <c r="I14" s="309">
        <v>40</v>
      </c>
      <c r="J14" s="310">
        <v>0</v>
      </c>
      <c r="K14" s="310">
        <v>0</v>
      </c>
      <c r="L14" s="310">
        <v>0</v>
      </c>
      <c r="M14" s="31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7">
        <v>2.2908183860000002</v>
      </c>
      <c r="F15" s="307">
        <v>-33.147686729999997</v>
      </c>
      <c r="G15" s="307">
        <v>6.3714765040000003</v>
      </c>
      <c r="H15" s="307">
        <v>8.1002321000000002E-2</v>
      </c>
      <c r="I15" s="309">
        <v>40</v>
      </c>
      <c r="J15" s="310">
        <v>0</v>
      </c>
      <c r="K15" s="310">
        <v>0</v>
      </c>
      <c r="L15" s="310">
        <v>0</v>
      </c>
      <c r="M15" s="31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7">
        <v>2.7882423940000001</v>
      </c>
      <c r="F16" s="307">
        <v>-34.880613019999998</v>
      </c>
      <c r="G16" s="307">
        <v>6.5951899220000003</v>
      </c>
      <c r="H16" s="307">
        <v>5.4032911000000003E-2</v>
      </c>
      <c r="I16" s="309">
        <v>40</v>
      </c>
      <c r="J16" s="310">
        <v>0</v>
      </c>
      <c r="K16" s="310">
        <v>0</v>
      </c>
      <c r="L16" s="310">
        <v>0</v>
      </c>
      <c r="M16" s="31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7">
        <v>3.117724811</v>
      </c>
      <c r="F17" s="307">
        <v>-35.871506220000001</v>
      </c>
      <c r="G17" s="307">
        <v>7.5186828869999998</v>
      </c>
      <c r="H17" s="307">
        <v>3.4330092999999999E-2</v>
      </c>
      <c r="I17" s="309">
        <v>40</v>
      </c>
      <c r="J17" s="310">
        <v>0</v>
      </c>
      <c r="K17" s="310">
        <v>0</v>
      </c>
      <c r="L17" s="310">
        <v>0</v>
      </c>
      <c r="M17" s="31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7">
        <v>3.5862355250000002</v>
      </c>
      <c r="F18" s="307">
        <v>-37.080299349999997</v>
      </c>
      <c r="G18" s="307">
        <v>8.2420571759999994</v>
      </c>
      <c r="H18" s="307">
        <v>1.4600757000000001E-2</v>
      </c>
      <c r="I18" s="309">
        <v>40</v>
      </c>
      <c r="J18" s="310">
        <v>0</v>
      </c>
      <c r="K18" s="310">
        <v>0</v>
      </c>
      <c r="L18" s="310">
        <v>0</v>
      </c>
      <c r="M18" s="31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12">
        <v>1.42024191542431</v>
      </c>
      <c r="F19" s="312">
        <v>-34.880613019999998</v>
      </c>
      <c r="G19" s="312">
        <v>6.5951899220000003</v>
      </c>
      <c r="H19" s="312">
        <v>3.8531702714088997E-2</v>
      </c>
      <c r="I19" s="313">
        <v>40</v>
      </c>
      <c r="J19" s="314">
        <v>-5.2108424079363599E-2</v>
      </c>
      <c r="K19" s="314">
        <v>0.86479187369647303</v>
      </c>
      <c r="L19" s="314">
        <v>-1.43692105046127E-3</v>
      </c>
      <c r="M19" s="31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6">
        <v>1.3284912834142599</v>
      </c>
      <c r="F20" s="316">
        <v>-35.871506220000001</v>
      </c>
      <c r="G20" s="316">
        <v>7.5186828869999998</v>
      </c>
      <c r="H20" s="316">
        <v>1.7554042928377402E-2</v>
      </c>
      <c r="I20" s="317">
        <v>40</v>
      </c>
      <c r="J20" s="318">
        <v>-7.5898278738419894E-2</v>
      </c>
      <c r="K20" s="318">
        <v>1.1942554985979099</v>
      </c>
      <c r="L20" s="318">
        <v>-8.9798095264275E-4</v>
      </c>
      <c r="M20" s="31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7">
        <v>2.3742827709999998</v>
      </c>
      <c r="F21" s="307">
        <v>-34.759550140000002</v>
      </c>
      <c r="G21" s="307">
        <v>5.9987036829999996</v>
      </c>
      <c r="H21" s="307">
        <v>0.149441144</v>
      </c>
      <c r="I21" s="309">
        <v>40</v>
      </c>
      <c r="J21" s="310">
        <v>0</v>
      </c>
      <c r="K21" s="310">
        <v>0</v>
      </c>
      <c r="L21" s="310">
        <v>0</v>
      </c>
      <c r="M21" s="31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7">
        <v>2.8544748530000001</v>
      </c>
      <c r="F22" s="307">
        <v>-35.629423080000002</v>
      </c>
      <c r="G22" s="307">
        <v>7.0058264430000001</v>
      </c>
      <c r="H22" s="307">
        <v>0.11647722100000001</v>
      </c>
      <c r="I22" s="309">
        <v>40</v>
      </c>
      <c r="J22" s="310">
        <v>0</v>
      </c>
      <c r="K22" s="310">
        <v>0</v>
      </c>
      <c r="L22" s="310">
        <v>0</v>
      </c>
      <c r="M22" s="31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7">
        <v>3.58112137</v>
      </c>
      <c r="F23" s="307">
        <v>-36.965006520000003</v>
      </c>
      <c r="G23" s="307">
        <v>7.2256946710000003</v>
      </c>
      <c r="H23" s="307">
        <v>4.4841566999999999E-2</v>
      </c>
      <c r="I23" s="309">
        <v>40</v>
      </c>
      <c r="J23" s="310">
        <v>0</v>
      </c>
      <c r="K23" s="310">
        <v>0</v>
      </c>
      <c r="L23" s="310">
        <v>0</v>
      </c>
      <c r="M23" s="31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7">
        <v>4.0196902039999998</v>
      </c>
      <c r="F24" s="307">
        <v>-37.82820366</v>
      </c>
      <c r="G24" s="307">
        <v>8.1593368759999994</v>
      </c>
      <c r="H24" s="307">
        <v>4.7284495000000003E-2</v>
      </c>
      <c r="I24" s="309">
        <v>40</v>
      </c>
      <c r="J24" s="310">
        <v>0</v>
      </c>
      <c r="K24" s="310">
        <v>0</v>
      </c>
      <c r="L24" s="310">
        <v>0</v>
      </c>
      <c r="M24" s="31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7">
        <v>4.8252375660000002</v>
      </c>
      <c r="F25" s="307">
        <v>-39.280256399999999</v>
      </c>
      <c r="G25" s="307">
        <v>8.6240216889999992</v>
      </c>
      <c r="H25" s="307">
        <v>9.9944630000000003E-3</v>
      </c>
      <c r="I25" s="309">
        <v>40</v>
      </c>
      <c r="J25" s="310">
        <v>0</v>
      </c>
      <c r="K25" s="310">
        <v>0</v>
      </c>
      <c r="L25" s="310">
        <v>0</v>
      </c>
      <c r="M25" s="31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12">
        <v>1.9724775375047101</v>
      </c>
      <c r="F26" s="312">
        <v>-36.965006520000003</v>
      </c>
      <c r="G26" s="312">
        <v>7.2256946710000003</v>
      </c>
      <c r="H26" s="312">
        <v>3.45781570412447E-2</v>
      </c>
      <c r="I26" s="313">
        <v>40</v>
      </c>
      <c r="J26" s="314">
        <v>-7.42174022298938E-2</v>
      </c>
      <c r="K26" s="314">
        <v>1.04488686764057</v>
      </c>
      <c r="L26" s="314">
        <v>-8.2954472023944598E-4</v>
      </c>
      <c r="M26" s="31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6">
        <v>1.8398455179509201</v>
      </c>
      <c r="F27" s="316">
        <v>-37.82820366</v>
      </c>
      <c r="G27" s="316">
        <v>8.1593368759999994</v>
      </c>
      <c r="H27" s="316">
        <v>2.5971006255482799E-2</v>
      </c>
      <c r="I27" s="317">
        <v>40</v>
      </c>
      <c r="J27" s="318">
        <v>-0.10692617459680499</v>
      </c>
      <c r="K27" s="318">
        <v>1.45522403984838</v>
      </c>
      <c r="L27" s="318">
        <v>-4.9197263527907199E-4</v>
      </c>
      <c r="M27" s="31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7">
        <v>1.415957087</v>
      </c>
      <c r="F28" s="307">
        <v>-30.842519159999998</v>
      </c>
      <c r="G28" s="307">
        <v>6.3467557010000002</v>
      </c>
      <c r="H28" s="307">
        <v>0.32117906499999999</v>
      </c>
      <c r="I28" s="309">
        <v>40</v>
      </c>
      <c r="J28" s="310">
        <v>0</v>
      </c>
      <c r="K28" s="310">
        <v>0</v>
      </c>
      <c r="L28" s="310">
        <v>0</v>
      </c>
      <c r="M28" s="31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7">
        <v>2.0660500700000002</v>
      </c>
      <c r="F29" s="307">
        <v>-33.601652029999997</v>
      </c>
      <c r="G29" s="307">
        <v>6.675360994</v>
      </c>
      <c r="H29" s="307">
        <v>0.23091246800000001</v>
      </c>
      <c r="I29" s="309">
        <v>40</v>
      </c>
      <c r="J29" s="310">
        <v>0</v>
      </c>
      <c r="K29" s="310">
        <v>0</v>
      </c>
      <c r="L29" s="310">
        <v>0</v>
      </c>
      <c r="M29" s="31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7">
        <v>2.7172288440000001</v>
      </c>
      <c r="F30" s="307">
        <v>-35.141256310000003</v>
      </c>
      <c r="G30" s="307">
        <v>7.1303395089999997</v>
      </c>
      <c r="H30" s="307">
        <v>0.14184716999999999</v>
      </c>
      <c r="I30" s="309">
        <v>40</v>
      </c>
      <c r="J30" s="310">
        <v>0</v>
      </c>
      <c r="K30" s="310">
        <v>0</v>
      </c>
      <c r="L30" s="310">
        <v>0</v>
      </c>
      <c r="M30" s="31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7">
        <v>3.4428942870000001</v>
      </c>
      <c r="F31" s="307">
        <v>-36.659050409999999</v>
      </c>
      <c r="G31" s="307">
        <v>7.6083226159999997</v>
      </c>
      <c r="H31" s="307">
        <v>7.4685009999999996E-2</v>
      </c>
      <c r="I31" s="309">
        <v>40</v>
      </c>
      <c r="J31" s="310">
        <v>0</v>
      </c>
      <c r="K31" s="310">
        <v>0</v>
      </c>
      <c r="L31" s="310">
        <v>0</v>
      </c>
      <c r="M31" s="31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7">
        <v>4.3624833000000001</v>
      </c>
      <c r="F32" s="307">
        <v>-38.663402159999997</v>
      </c>
      <c r="G32" s="307">
        <v>7.5974644280000003</v>
      </c>
      <c r="H32" s="307">
        <v>8.3264180000000004E-3</v>
      </c>
      <c r="I32" s="309">
        <v>40</v>
      </c>
      <c r="J32" s="310">
        <v>0</v>
      </c>
      <c r="K32" s="310">
        <v>0</v>
      </c>
      <c r="L32" s="310">
        <v>0</v>
      </c>
      <c r="M32" s="31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12">
        <v>1.3554515228930799</v>
      </c>
      <c r="F33" s="312">
        <v>-35.141256310000003</v>
      </c>
      <c r="G33" s="312">
        <v>7.1303395089999997</v>
      </c>
      <c r="H33" s="312">
        <v>9.9061861582536506E-2</v>
      </c>
      <c r="I33" s="313">
        <v>40</v>
      </c>
      <c r="J33" s="314">
        <v>-5.2648691429529201E-2</v>
      </c>
      <c r="K33" s="314">
        <v>0.86260857514223399</v>
      </c>
      <c r="L33" s="314">
        <v>-8.8083895602660196E-4</v>
      </c>
      <c r="M33" s="31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6">
        <v>1.4256683872017999</v>
      </c>
      <c r="F34" s="316">
        <v>-36.659050409999999</v>
      </c>
      <c r="G34" s="316">
        <v>7.6083226159999997</v>
      </c>
      <c r="H34" s="316">
        <v>3.7111586547478703E-2</v>
      </c>
      <c r="I34" s="317">
        <v>40</v>
      </c>
      <c r="J34" s="318">
        <v>-8.0935893022415106E-2</v>
      </c>
      <c r="K34" s="318">
        <v>1.2364527018259801</v>
      </c>
      <c r="L34" s="318">
        <v>-7.6279966642852303E-4</v>
      </c>
      <c r="M34" s="31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7">
        <v>1.2903504589999999</v>
      </c>
      <c r="F35" s="307">
        <v>-35.234986829999997</v>
      </c>
      <c r="G35" s="307">
        <v>2.1064246880000002</v>
      </c>
      <c r="H35" s="307">
        <v>0.45572533300000001</v>
      </c>
      <c r="I35" s="309">
        <v>40</v>
      </c>
      <c r="J35" s="310">
        <v>0</v>
      </c>
      <c r="K35" s="310">
        <v>0</v>
      </c>
      <c r="L35" s="310">
        <v>0</v>
      </c>
      <c r="M35" s="31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7">
        <v>2.1095878429999999</v>
      </c>
      <c r="F36" s="307">
        <v>-35.84445084</v>
      </c>
      <c r="G36" s="307">
        <v>5.2154672279999996</v>
      </c>
      <c r="H36" s="307">
        <v>0.28545825400000002</v>
      </c>
      <c r="I36" s="309">
        <v>40</v>
      </c>
      <c r="J36" s="310">
        <v>0</v>
      </c>
      <c r="K36" s="310">
        <v>0</v>
      </c>
      <c r="L36" s="310">
        <v>0</v>
      </c>
      <c r="M36" s="31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7">
        <v>2.917702722</v>
      </c>
      <c r="F37" s="307">
        <v>-36.179411649999999</v>
      </c>
      <c r="G37" s="307">
        <v>5.9265161649999998</v>
      </c>
      <c r="H37" s="307">
        <v>0.11519117600000001</v>
      </c>
      <c r="I37" s="309">
        <v>40</v>
      </c>
      <c r="J37" s="310">
        <v>0</v>
      </c>
      <c r="K37" s="310">
        <v>0</v>
      </c>
      <c r="L37" s="310">
        <v>0</v>
      </c>
      <c r="M37" s="31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7">
        <v>3.75</v>
      </c>
      <c r="F38" s="307">
        <v>-37.5</v>
      </c>
      <c r="G38" s="307">
        <v>6.8</v>
      </c>
      <c r="H38" s="307">
        <v>6.0911264999999999E-2</v>
      </c>
      <c r="I38" s="309">
        <v>40</v>
      </c>
      <c r="J38" s="310">
        <v>0</v>
      </c>
      <c r="K38" s="310">
        <v>0</v>
      </c>
      <c r="L38" s="310">
        <v>0</v>
      </c>
      <c r="M38" s="31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7">
        <v>4.5699505650000001</v>
      </c>
      <c r="F39" s="307">
        <v>-38.535339239999999</v>
      </c>
      <c r="G39" s="307">
        <v>7.5976990989999997</v>
      </c>
      <c r="H39" s="307">
        <v>6.6313539999999999E-3</v>
      </c>
      <c r="I39" s="309">
        <v>40</v>
      </c>
      <c r="J39" s="310">
        <v>0</v>
      </c>
      <c r="K39" s="310">
        <v>0</v>
      </c>
      <c r="L39" s="310">
        <v>0</v>
      </c>
      <c r="M39" s="31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12">
        <v>1.4633681573374999</v>
      </c>
      <c r="F40" s="312">
        <v>-36.179411649999999</v>
      </c>
      <c r="G40" s="312">
        <v>5.9265161649999998</v>
      </c>
      <c r="H40" s="312">
        <v>8.08834761578303E-2</v>
      </c>
      <c r="I40" s="313">
        <v>40</v>
      </c>
      <c r="J40" s="314">
        <v>-4.7579990370695997E-2</v>
      </c>
      <c r="K40" s="314">
        <v>0.82307541850402</v>
      </c>
      <c r="L40" s="314">
        <v>-1.92725690584626E-3</v>
      </c>
      <c r="M40" s="31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6">
        <v>1.5175791604409099</v>
      </c>
      <c r="F41" s="316">
        <v>-37.5</v>
      </c>
      <c r="G41" s="316">
        <v>6.8</v>
      </c>
      <c r="H41" s="316">
        <v>2.9580053248030098E-2</v>
      </c>
      <c r="I41" s="317">
        <v>40</v>
      </c>
      <c r="J41" s="318">
        <v>-7.8855918399573705E-2</v>
      </c>
      <c r="K41" s="318">
        <v>1.21612498767079</v>
      </c>
      <c r="L41" s="318">
        <v>-1.31336800852578E-3</v>
      </c>
      <c r="M41" s="31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7">
        <v>1.177034538</v>
      </c>
      <c r="F42" s="307">
        <v>-39.159991400000003</v>
      </c>
      <c r="G42" s="307">
        <v>4.2076109639999997</v>
      </c>
      <c r="H42" s="307">
        <v>0.66047393200000004</v>
      </c>
      <c r="I42" s="309">
        <v>40</v>
      </c>
      <c r="J42" s="310">
        <v>0</v>
      </c>
      <c r="K42" s="310">
        <v>0</v>
      </c>
      <c r="L42" s="310">
        <v>0</v>
      </c>
      <c r="M42" s="31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7">
        <v>1.648762294</v>
      </c>
      <c r="F43" s="307">
        <v>-36.399273569999998</v>
      </c>
      <c r="G43" s="307">
        <v>6.2149172090000002</v>
      </c>
      <c r="H43" s="307">
        <v>0.48776373299999998</v>
      </c>
      <c r="I43" s="309">
        <v>40</v>
      </c>
      <c r="J43" s="310">
        <v>0</v>
      </c>
      <c r="K43" s="310">
        <v>0</v>
      </c>
      <c r="L43" s="310">
        <v>0</v>
      </c>
      <c r="M43" s="31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7">
        <v>2.2850164739999999</v>
      </c>
      <c r="F44" s="307">
        <v>-36.287858389999997</v>
      </c>
      <c r="G44" s="307">
        <v>6.5885126390000002</v>
      </c>
      <c r="H44" s="307">
        <v>0.31505353400000002</v>
      </c>
      <c r="I44" s="309">
        <v>40</v>
      </c>
      <c r="J44" s="310">
        <v>0</v>
      </c>
      <c r="K44" s="310">
        <v>0</v>
      </c>
      <c r="L44" s="310">
        <v>0</v>
      </c>
      <c r="M44" s="31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7">
        <v>2.8195656150000001</v>
      </c>
      <c r="F45" s="307">
        <v>-36</v>
      </c>
      <c r="G45" s="307">
        <v>7.7368517680000002</v>
      </c>
      <c r="H45" s="307">
        <v>0.15728097999999999</v>
      </c>
      <c r="I45" s="309">
        <v>40</v>
      </c>
      <c r="J45" s="310">
        <v>0</v>
      </c>
      <c r="K45" s="310">
        <v>0</v>
      </c>
      <c r="L45" s="310">
        <v>0</v>
      </c>
      <c r="M45" s="31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7">
        <v>3.3295574819999998</v>
      </c>
      <c r="F46" s="307">
        <v>-36.014621120000001</v>
      </c>
      <c r="G46" s="307">
        <v>8.7767464709999992</v>
      </c>
      <c r="H46" s="307">
        <v>0</v>
      </c>
      <c r="I46" s="309">
        <v>40</v>
      </c>
      <c r="J46" s="310">
        <v>0</v>
      </c>
      <c r="K46" s="310">
        <v>0</v>
      </c>
      <c r="L46" s="310">
        <v>0</v>
      </c>
      <c r="M46" s="31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12">
        <v>1.15820816823062</v>
      </c>
      <c r="F47" s="312">
        <v>-36.287858389999997</v>
      </c>
      <c r="G47" s="312">
        <v>6.5885126390000002</v>
      </c>
      <c r="H47" s="312">
        <v>0.223568019279065</v>
      </c>
      <c r="I47" s="313">
        <v>40</v>
      </c>
      <c r="J47" s="314">
        <v>-4.1033478424869901E-2</v>
      </c>
      <c r="K47" s="314">
        <v>0.75264513854265702</v>
      </c>
      <c r="L47" s="314">
        <v>-9.0876855297962304E-4</v>
      </c>
      <c r="M47" s="31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6">
        <v>1.18483197659357</v>
      </c>
      <c r="F48" s="316">
        <v>-36</v>
      </c>
      <c r="G48" s="316">
        <v>7.7368517680000002</v>
      </c>
      <c r="H48" s="316">
        <v>7.9310742089883396E-2</v>
      </c>
      <c r="I48" s="317">
        <v>40</v>
      </c>
      <c r="J48" s="318">
        <v>-6.8738315813288001E-2</v>
      </c>
      <c r="K48" s="318">
        <v>1.1308570050851501</v>
      </c>
      <c r="L48" s="318">
        <v>-6.58695704968982E-4</v>
      </c>
      <c r="M48" s="31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7">
        <v>1.4771785690000001</v>
      </c>
      <c r="F49" s="307">
        <v>-35.083444710000002</v>
      </c>
      <c r="G49" s="307">
        <v>5.412342465</v>
      </c>
      <c r="H49" s="307">
        <v>0.47442640800000002</v>
      </c>
      <c r="I49" s="309">
        <v>40</v>
      </c>
      <c r="J49" s="310">
        <v>0</v>
      </c>
      <c r="K49" s="310">
        <v>0</v>
      </c>
      <c r="L49" s="310">
        <v>0</v>
      </c>
      <c r="M49" s="31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7">
        <v>1.70052794</v>
      </c>
      <c r="F50" s="307">
        <v>-35.15</v>
      </c>
      <c r="G50" s="307">
        <v>6.1632738509999996</v>
      </c>
      <c r="H50" s="307">
        <v>0.42982608500000002</v>
      </c>
      <c r="I50" s="309">
        <v>40</v>
      </c>
      <c r="J50" s="310">
        <v>0</v>
      </c>
      <c r="K50" s="310">
        <v>0</v>
      </c>
      <c r="L50" s="310">
        <v>0</v>
      </c>
      <c r="M50" s="31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7">
        <v>2.0102471730000002</v>
      </c>
      <c r="F51" s="307">
        <v>-35.253212349999998</v>
      </c>
      <c r="G51" s="307">
        <v>6.1544406409999999</v>
      </c>
      <c r="H51" s="307">
        <v>0.32947409700000002</v>
      </c>
      <c r="I51" s="309">
        <v>40</v>
      </c>
      <c r="J51" s="310">
        <v>0</v>
      </c>
      <c r="K51" s="310">
        <v>0</v>
      </c>
      <c r="L51" s="310">
        <v>0</v>
      </c>
      <c r="M51" s="31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7">
        <v>2.4595180609999998</v>
      </c>
      <c r="F52" s="307">
        <v>-35.253212349999998</v>
      </c>
      <c r="G52" s="307">
        <v>6.0587000719999997</v>
      </c>
      <c r="H52" s="307">
        <v>0.164737049</v>
      </c>
      <c r="I52" s="309">
        <v>40</v>
      </c>
      <c r="J52" s="310">
        <v>0</v>
      </c>
      <c r="K52" s="310">
        <v>0</v>
      </c>
      <c r="L52" s="310">
        <v>0</v>
      </c>
      <c r="M52" s="31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7">
        <v>2.98</v>
      </c>
      <c r="F53" s="307">
        <v>-35.799999999999997</v>
      </c>
      <c r="G53" s="307">
        <v>5.6340580620000003</v>
      </c>
      <c r="H53" s="307">
        <v>0</v>
      </c>
      <c r="I53" s="309">
        <v>40</v>
      </c>
      <c r="J53" s="310">
        <v>0</v>
      </c>
      <c r="K53" s="310">
        <v>0</v>
      </c>
      <c r="L53" s="310">
        <v>0</v>
      </c>
      <c r="M53" s="31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12">
        <v>0.98742830199278697</v>
      </c>
      <c r="F54" s="312">
        <v>-35.253212349999998</v>
      </c>
      <c r="G54" s="312">
        <v>6.1544406409999999</v>
      </c>
      <c r="H54" s="312">
        <v>0.226571574644788</v>
      </c>
      <c r="I54" s="313">
        <v>40</v>
      </c>
      <c r="J54" s="314">
        <v>-3.3901972877937302E-2</v>
      </c>
      <c r="K54" s="314">
        <v>0.69382336958448299</v>
      </c>
      <c r="L54" s="314">
        <v>-1.2849007801732501E-3</v>
      </c>
      <c r="M54" s="31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6">
        <v>0.987258471486126</v>
      </c>
      <c r="F55" s="316">
        <v>-35.253212349999998</v>
      </c>
      <c r="G55" s="316">
        <v>6.0587000719999997</v>
      </c>
      <c r="H55" s="316">
        <v>7.9351178479290699E-2</v>
      </c>
      <c r="I55" s="317">
        <v>40</v>
      </c>
      <c r="J55" s="318">
        <v>-4.95013227495672E-2</v>
      </c>
      <c r="K55" s="318">
        <v>0.96379986125322403</v>
      </c>
      <c r="L55" s="318">
        <v>-2.2303785271091201E-3</v>
      </c>
      <c r="M55" s="31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7">
        <v>0.4</v>
      </c>
      <c r="F56" s="307">
        <v>-40.514948179999998</v>
      </c>
      <c r="G56" s="307">
        <v>2.874795695</v>
      </c>
      <c r="H56" s="307">
        <v>0.93510758400000005</v>
      </c>
      <c r="I56" s="309">
        <v>40</v>
      </c>
      <c r="J56" s="310">
        <v>0</v>
      </c>
      <c r="K56" s="310">
        <v>0</v>
      </c>
      <c r="L56" s="310">
        <v>0</v>
      </c>
      <c r="M56" s="31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7">
        <v>0.61662289299999995</v>
      </c>
      <c r="F57" s="307">
        <v>-38.4</v>
      </c>
      <c r="G57" s="307">
        <v>3.8705351889999999</v>
      </c>
      <c r="H57" s="307">
        <v>0.87002503099999995</v>
      </c>
      <c r="I57" s="309">
        <v>40</v>
      </c>
      <c r="J57" s="310">
        <v>0</v>
      </c>
      <c r="K57" s="310">
        <v>0</v>
      </c>
      <c r="L57" s="310">
        <v>0</v>
      </c>
      <c r="M57" s="31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7">
        <v>0.76572901199999999</v>
      </c>
      <c r="F58" s="307">
        <v>-36.023791150000001</v>
      </c>
      <c r="G58" s="307">
        <v>4.8662746830000003</v>
      </c>
      <c r="H58" s="307">
        <v>0.80494247799999996</v>
      </c>
      <c r="I58" s="309">
        <v>40</v>
      </c>
      <c r="J58" s="310">
        <v>0</v>
      </c>
      <c r="K58" s="310">
        <v>0</v>
      </c>
      <c r="L58" s="310">
        <v>0</v>
      </c>
      <c r="M58" s="31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7">
        <v>1.053587472</v>
      </c>
      <c r="F59" s="307">
        <v>-35.299999999999997</v>
      </c>
      <c r="G59" s="307">
        <v>4.8662746830000003</v>
      </c>
      <c r="H59" s="307">
        <v>0.68110423399999998</v>
      </c>
      <c r="I59" s="309">
        <v>40</v>
      </c>
      <c r="J59" s="310">
        <v>0</v>
      </c>
      <c r="K59" s="310">
        <v>0</v>
      </c>
      <c r="L59" s="310">
        <v>0</v>
      </c>
      <c r="M59" s="31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7">
        <v>1.276885373</v>
      </c>
      <c r="F60" s="307">
        <v>-34.342437070000003</v>
      </c>
      <c r="G60" s="307">
        <v>5.4518822419999999</v>
      </c>
      <c r="H60" s="307">
        <v>0.55726598999999999</v>
      </c>
      <c r="I60" s="309">
        <v>40</v>
      </c>
      <c r="J60" s="310">
        <v>0</v>
      </c>
      <c r="K60" s="310">
        <v>0</v>
      </c>
      <c r="L60" s="310">
        <v>0</v>
      </c>
      <c r="M60" s="31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12">
        <v>0.33378383212380802</v>
      </c>
      <c r="F61" s="312">
        <v>-36.023791150000001</v>
      </c>
      <c r="G61" s="312">
        <v>4.8662746830000003</v>
      </c>
      <c r="H61" s="312">
        <v>0.49122795797177399</v>
      </c>
      <c r="I61" s="313">
        <v>40</v>
      </c>
      <c r="J61" s="314">
        <v>-9.2263492839078001E-3</v>
      </c>
      <c r="K61" s="314">
        <v>0.45957571089624999</v>
      </c>
      <c r="L61" s="314">
        <v>-9.6764244989513298E-4</v>
      </c>
      <c r="M61" s="31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6">
        <v>0.39253387380634902</v>
      </c>
      <c r="F62" s="316">
        <v>-35.299999999999997</v>
      </c>
      <c r="G62" s="316">
        <v>4.8662746830000003</v>
      </c>
      <c r="H62" s="316">
        <v>0.30450986619695802</v>
      </c>
      <c r="I62" s="317">
        <v>40</v>
      </c>
      <c r="J62" s="318">
        <v>-1.67993072626435E-2</v>
      </c>
      <c r="K62" s="318">
        <v>0.67108889173422104</v>
      </c>
      <c r="L62" s="318">
        <v>-2.0300823594516502E-3</v>
      </c>
      <c r="M62" s="31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7">
        <v>3.176194476</v>
      </c>
      <c r="F63" s="307">
        <v>-40.836660860000002</v>
      </c>
      <c r="G63" s="307">
        <v>3.6785891739999999</v>
      </c>
      <c r="H63" s="307">
        <v>0.15021557599999999</v>
      </c>
      <c r="I63" s="309">
        <v>40</v>
      </c>
      <c r="J63" s="310">
        <v>0</v>
      </c>
      <c r="K63" s="310">
        <v>0</v>
      </c>
      <c r="L63" s="310">
        <v>0</v>
      </c>
      <c r="M63" s="31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7">
        <v>3.3904645059999998</v>
      </c>
      <c r="F64" s="307">
        <v>-39.287521640000001</v>
      </c>
      <c r="G64" s="307">
        <v>4.4905740459999999</v>
      </c>
      <c r="H64" s="307">
        <v>8.3478316999999996E-2</v>
      </c>
      <c r="I64" s="309">
        <v>40</v>
      </c>
      <c r="J64" s="310">
        <v>0</v>
      </c>
      <c r="K64" s="310">
        <v>0</v>
      </c>
      <c r="L64" s="310">
        <v>0</v>
      </c>
      <c r="M64" s="31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7">
        <v>3.2572742130000001</v>
      </c>
      <c r="F65" s="307">
        <v>-37.5</v>
      </c>
      <c r="G65" s="307">
        <v>6.3462147949999999</v>
      </c>
      <c r="H65" s="307">
        <v>8.6622649999999995E-2</v>
      </c>
      <c r="I65" s="309">
        <v>40</v>
      </c>
      <c r="J65" s="310">
        <v>0</v>
      </c>
      <c r="K65" s="310">
        <v>0</v>
      </c>
      <c r="L65" s="310">
        <v>0</v>
      </c>
      <c r="M65" s="31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7">
        <v>3.601773562</v>
      </c>
      <c r="F66" s="307">
        <v>-37.88253684</v>
      </c>
      <c r="G66" s="307">
        <v>6.9836070289999999</v>
      </c>
      <c r="H66" s="307">
        <v>5.4826185999999999E-2</v>
      </c>
      <c r="I66" s="309">
        <v>40</v>
      </c>
      <c r="J66" s="310">
        <v>0</v>
      </c>
      <c r="K66" s="310">
        <v>0</v>
      </c>
      <c r="L66" s="310">
        <v>0</v>
      </c>
      <c r="M66" s="31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7">
        <v>3.9320532479999999</v>
      </c>
      <c r="F67" s="307">
        <v>-38.143324819999997</v>
      </c>
      <c r="G67" s="307">
        <v>7.6185870979999999</v>
      </c>
      <c r="H67" s="307">
        <v>2.3029722999999998E-2</v>
      </c>
      <c r="I67" s="309">
        <v>40</v>
      </c>
      <c r="J67" s="310">
        <v>0</v>
      </c>
      <c r="K67" s="310">
        <v>0</v>
      </c>
      <c r="L67" s="310">
        <v>0</v>
      </c>
      <c r="M67" s="31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20">
        <v>1.82137779524266</v>
      </c>
      <c r="F68" s="320">
        <v>-37.5</v>
      </c>
      <c r="G68" s="320">
        <v>6.3462147949999999</v>
      </c>
      <c r="H68" s="320">
        <v>6.7811791498411197E-2</v>
      </c>
      <c r="I68" s="321">
        <v>40</v>
      </c>
      <c r="J68" s="322">
        <v>-6.0766568968526301E-2</v>
      </c>
      <c r="K68" s="322">
        <v>0.93081585658295796</v>
      </c>
      <c r="L68" s="322">
        <v>-1.3966888276177401E-3</v>
      </c>
      <c r="M68" s="32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6">
        <v>1.62668116109167</v>
      </c>
      <c r="F69" s="316">
        <v>-37.88253684</v>
      </c>
      <c r="G69" s="316">
        <v>6.9836070289999999</v>
      </c>
      <c r="H69" s="316">
        <v>2.9713602712276601E-2</v>
      </c>
      <c r="I69" s="317">
        <v>40</v>
      </c>
      <c r="J69" s="318">
        <v>-8.5433289200744306E-2</v>
      </c>
      <c r="K69" s="318">
        <v>1.2709629183122999</v>
      </c>
      <c r="L69" s="318">
        <v>-1.1319192336313501E-3</v>
      </c>
      <c r="M69" s="31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7">
        <v>0.15</v>
      </c>
      <c r="F70" s="307">
        <v>-36</v>
      </c>
      <c r="G70" s="307">
        <v>2</v>
      </c>
      <c r="H70" s="307">
        <v>1</v>
      </c>
      <c r="I70" s="309">
        <v>40</v>
      </c>
      <c r="J70" s="310">
        <v>0</v>
      </c>
      <c r="K70" s="310">
        <v>0</v>
      </c>
      <c r="L70" s="310">
        <v>0</v>
      </c>
      <c r="M70" s="31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7">
        <v>0.38791910400000001</v>
      </c>
      <c r="F71" s="307">
        <v>-35.5</v>
      </c>
      <c r="G71" s="307">
        <v>4</v>
      </c>
      <c r="H71" s="307">
        <v>0.90548154300000006</v>
      </c>
      <c r="I71" s="309">
        <v>40</v>
      </c>
      <c r="J71" s="310">
        <v>0</v>
      </c>
      <c r="K71" s="310">
        <v>0</v>
      </c>
      <c r="L71" s="310">
        <v>0</v>
      </c>
      <c r="M71" s="31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7">
        <v>0.62619621599999997</v>
      </c>
      <c r="F72" s="307">
        <v>-33</v>
      </c>
      <c r="G72" s="307">
        <v>5.7212302499999996</v>
      </c>
      <c r="H72" s="307">
        <v>0.78556546000000005</v>
      </c>
      <c r="I72" s="309">
        <v>40</v>
      </c>
      <c r="J72" s="310">
        <v>0</v>
      </c>
      <c r="K72" s="310">
        <v>0</v>
      </c>
      <c r="L72" s="310">
        <v>0</v>
      </c>
      <c r="M72" s="31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7">
        <v>0.93158890100000002</v>
      </c>
      <c r="F73" s="307">
        <v>-33.35</v>
      </c>
      <c r="G73" s="307">
        <v>5.7212302499999996</v>
      </c>
      <c r="H73" s="307">
        <v>0.66564937700000004</v>
      </c>
      <c r="I73" s="309">
        <v>40</v>
      </c>
      <c r="J73" s="310">
        <v>0</v>
      </c>
      <c r="K73" s="310">
        <v>0</v>
      </c>
      <c r="L73" s="310">
        <v>0</v>
      </c>
      <c r="M73" s="31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7">
        <v>1.2779567300000001</v>
      </c>
      <c r="F74" s="307">
        <v>-34.517392000000001</v>
      </c>
      <c r="G74" s="307">
        <v>5.7212302499999996</v>
      </c>
      <c r="H74" s="307">
        <v>0.54573329400000004</v>
      </c>
      <c r="I74" s="309">
        <v>40</v>
      </c>
      <c r="J74" s="310">
        <v>0</v>
      </c>
      <c r="K74" s="310">
        <v>0</v>
      </c>
      <c r="L74" s="310">
        <v>0</v>
      </c>
      <c r="M74" s="31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20">
        <v>0.27700871173110803</v>
      </c>
      <c r="F75" s="320">
        <v>-33</v>
      </c>
      <c r="G75" s="320">
        <v>5.7212302499999996</v>
      </c>
      <c r="H75" s="320">
        <v>0.4865118291885</v>
      </c>
      <c r="I75" s="321">
        <v>40</v>
      </c>
      <c r="J75" s="322">
        <v>-9.4849130944012709E-3</v>
      </c>
      <c r="K75" s="322">
        <v>0.46302369368771501</v>
      </c>
      <c r="L75" s="322">
        <v>-7.1341860056578195E-4</v>
      </c>
      <c r="M75" s="32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6">
        <v>0.35376401507794197</v>
      </c>
      <c r="F76" s="316">
        <v>-33.35</v>
      </c>
      <c r="G76" s="316">
        <v>5.7212302499999996</v>
      </c>
      <c r="H76" s="316">
        <v>0.30333053043746</v>
      </c>
      <c r="I76" s="317">
        <v>40</v>
      </c>
      <c r="J76" s="318">
        <v>-1.7746347868875599E-2</v>
      </c>
      <c r="K76" s="318">
        <v>0.68256991216863605</v>
      </c>
      <c r="L76" s="318">
        <v>-1.3911792841456701E-3</v>
      </c>
      <c r="M76" s="31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7">
        <v>1.489402246</v>
      </c>
      <c r="F77" s="307">
        <v>-32.425267750000003</v>
      </c>
      <c r="G77" s="307">
        <v>8.1732612079999996</v>
      </c>
      <c r="H77" s="307">
        <v>0.390598736</v>
      </c>
      <c r="I77" s="309">
        <v>40</v>
      </c>
      <c r="J77" s="310">
        <v>0</v>
      </c>
      <c r="K77" s="310">
        <v>0</v>
      </c>
      <c r="L77" s="310">
        <v>0</v>
      </c>
      <c r="M77" s="31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7">
        <v>2.5784172540000001</v>
      </c>
      <c r="F78" s="307">
        <v>-34.732126100000002</v>
      </c>
      <c r="G78" s="307">
        <v>6.4805035139999996</v>
      </c>
      <c r="H78" s="307">
        <v>0.140772912</v>
      </c>
      <c r="I78" s="309">
        <v>40</v>
      </c>
      <c r="J78" s="310">
        <v>0</v>
      </c>
      <c r="K78" s="310">
        <v>0</v>
      </c>
      <c r="L78" s="310">
        <v>0</v>
      </c>
      <c r="M78" s="31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7">
        <v>3.2</v>
      </c>
      <c r="F79" s="307">
        <v>-35.799999999999997</v>
      </c>
      <c r="G79" s="307">
        <v>8.4</v>
      </c>
      <c r="H79" s="307">
        <v>9.3848608E-2</v>
      </c>
      <c r="I79" s="309">
        <v>40</v>
      </c>
      <c r="J79" s="310">
        <v>0</v>
      </c>
      <c r="K79" s="310">
        <v>0</v>
      </c>
      <c r="L79" s="310">
        <v>0</v>
      </c>
      <c r="M79" s="31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7">
        <v>3.85</v>
      </c>
      <c r="F80" s="307">
        <v>-37</v>
      </c>
      <c r="G80" s="307">
        <v>10.2405021</v>
      </c>
      <c r="H80" s="307">
        <v>4.6924304E-2</v>
      </c>
      <c r="I80" s="309">
        <v>40</v>
      </c>
      <c r="J80" s="310">
        <v>0</v>
      </c>
      <c r="K80" s="310">
        <v>0</v>
      </c>
      <c r="L80" s="310">
        <v>0</v>
      </c>
      <c r="M80" s="31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7">
        <v>4.7462813920000002</v>
      </c>
      <c r="F81" s="307">
        <v>-38.750429390000001</v>
      </c>
      <c r="G81" s="307">
        <v>10.27533341</v>
      </c>
      <c r="H81" s="307">
        <v>0</v>
      </c>
      <c r="I81" s="309">
        <v>40</v>
      </c>
      <c r="J81" s="310">
        <v>0</v>
      </c>
      <c r="K81" s="310">
        <v>0</v>
      </c>
      <c r="L81" s="310">
        <v>0</v>
      </c>
      <c r="M81" s="31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20">
        <v>1.7110739256233101</v>
      </c>
      <c r="F82" s="320">
        <v>-35.799999999999997</v>
      </c>
      <c r="G82" s="320">
        <v>8.4</v>
      </c>
      <c r="H82" s="320">
        <v>7.0254583920868696E-2</v>
      </c>
      <c r="I82" s="321">
        <v>40</v>
      </c>
      <c r="J82" s="322">
        <v>-7.4538113411129703E-2</v>
      </c>
      <c r="K82" s="322">
        <v>1.04630053886108</v>
      </c>
      <c r="L82" s="322">
        <v>-3.6720793281783798E-4</v>
      </c>
      <c r="M82" s="32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6">
        <v>1.88346094379506</v>
      </c>
      <c r="F83" s="316">
        <v>-37</v>
      </c>
      <c r="G83" s="316">
        <v>10.2405021</v>
      </c>
      <c r="H83" s="316">
        <v>2.7547042254160901E-2</v>
      </c>
      <c r="I83" s="317">
        <v>40</v>
      </c>
      <c r="J83" s="318">
        <v>-0.12530997479160699</v>
      </c>
      <c r="K83" s="318">
        <v>1.62759988176077</v>
      </c>
      <c r="L83" s="318">
        <v>-1.10508201486912E-4</v>
      </c>
      <c r="M83" s="31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7">
        <v>2.1163530869999998</v>
      </c>
      <c r="F84" s="307">
        <v>-34.262862310000003</v>
      </c>
      <c r="G84" s="307">
        <v>5.1763874239999996</v>
      </c>
      <c r="H84" s="307">
        <v>0.160694541</v>
      </c>
      <c r="I84" s="309">
        <v>40</v>
      </c>
      <c r="J84" s="310">
        <v>0</v>
      </c>
      <c r="K84" s="310">
        <v>0</v>
      </c>
      <c r="L84" s="310">
        <v>0</v>
      </c>
      <c r="M84" s="31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7">
        <v>2.248633329</v>
      </c>
      <c r="F85" s="307">
        <v>-34.542843070000004</v>
      </c>
      <c r="G85" s="307">
        <v>5.5545244839999999</v>
      </c>
      <c r="H85" s="307">
        <v>0.14082196299999999</v>
      </c>
      <c r="I85" s="309">
        <v>40</v>
      </c>
      <c r="J85" s="310">
        <v>0</v>
      </c>
      <c r="K85" s="310">
        <v>0</v>
      </c>
      <c r="L85" s="310">
        <v>0</v>
      </c>
      <c r="M85" s="31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7">
        <v>2.387761791</v>
      </c>
      <c r="F86" s="307">
        <v>-34.721360509999997</v>
      </c>
      <c r="G86" s="307">
        <v>5.8164304019999999</v>
      </c>
      <c r="H86" s="307">
        <v>0.120819368</v>
      </c>
      <c r="I86" s="309">
        <v>40</v>
      </c>
      <c r="J86" s="310">
        <v>0</v>
      </c>
      <c r="K86" s="310">
        <v>0</v>
      </c>
      <c r="L86" s="310">
        <v>0</v>
      </c>
      <c r="M86" s="31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7">
        <v>2.5187775189999999</v>
      </c>
      <c r="F87" s="307">
        <v>-35.033375419999999</v>
      </c>
      <c r="G87" s="307">
        <v>6.224063396</v>
      </c>
      <c r="H87" s="307">
        <v>0.10107817199999999</v>
      </c>
      <c r="I87" s="309">
        <v>40</v>
      </c>
      <c r="J87" s="310">
        <v>0</v>
      </c>
      <c r="K87" s="310">
        <v>0</v>
      </c>
      <c r="L87" s="310">
        <v>0</v>
      </c>
      <c r="M87" s="31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7">
        <v>2.656440592</v>
      </c>
      <c r="F88" s="307">
        <v>-35.251692669999997</v>
      </c>
      <c r="G88" s="307">
        <v>6.5182658619999998</v>
      </c>
      <c r="H88" s="307">
        <v>8.1205866000000002E-2</v>
      </c>
      <c r="I88" s="309">
        <v>40</v>
      </c>
      <c r="J88" s="310">
        <v>0</v>
      </c>
      <c r="K88" s="310">
        <v>0</v>
      </c>
      <c r="L88" s="310">
        <v>0</v>
      </c>
      <c r="M88" s="31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20">
        <v>1.2328654654123199</v>
      </c>
      <c r="F89" s="320">
        <v>-34.721360509999997</v>
      </c>
      <c r="G89" s="320">
        <v>5.8164304019999999</v>
      </c>
      <c r="H89" s="320">
        <v>8.7335193020600194E-2</v>
      </c>
      <c r="I89" s="321">
        <v>40</v>
      </c>
      <c r="J89" s="322">
        <v>-4.0928399400390697E-2</v>
      </c>
      <c r="K89" s="322">
        <v>0.76729203945074098</v>
      </c>
      <c r="L89" s="322">
        <v>-2.23202741619469E-3</v>
      </c>
      <c r="M89" s="32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6">
        <v>1.0443537680583199</v>
      </c>
      <c r="F90" s="316">
        <v>-35.033375419999999</v>
      </c>
      <c r="G90" s="316">
        <v>6.224063396</v>
      </c>
      <c r="H90" s="316">
        <v>5.0291716040989698E-2</v>
      </c>
      <c r="I90" s="317">
        <v>40</v>
      </c>
      <c r="J90" s="318">
        <v>-5.3583022235768898E-2</v>
      </c>
      <c r="K90" s="318">
        <v>0.99959009039973401</v>
      </c>
      <c r="L90" s="318">
        <v>-2.17584483209612E-3</v>
      </c>
      <c r="M90" s="31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7">
        <v>2.579251014</v>
      </c>
      <c r="F91" s="307">
        <v>-35.681614400000001</v>
      </c>
      <c r="G91" s="307">
        <v>6.685797612</v>
      </c>
      <c r="H91" s="307">
        <v>0.19955409900000001</v>
      </c>
      <c r="I91" s="309">
        <v>40</v>
      </c>
      <c r="J91" s="310">
        <v>0</v>
      </c>
      <c r="K91" s="310">
        <v>0</v>
      </c>
      <c r="L91" s="310">
        <v>0</v>
      </c>
      <c r="M91" s="31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7">
        <v>3.0084345560000001</v>
      </c>
      <c r="F92" s="307">
        <v>-36.607845269999999</v>
      </c>
      <c r="G92" s="307">
        <v>7.3211869529999998</v>
      </c>
      <c r="H92" s="307">
        <v>0.154966031</v>
      </c>
      <c r="I92" s="309">
        <v>40</v>
      </c>
      <c r="J92" s="310">
        <v>0</v>
      </c>
      <c r="K92" s="310">
        <v>0</v>
      </c>
      <c r="L92" s="310">
        <v>0</v>
      </c>
      <c r="M92" s="31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20">
        <v>1.3010623280670599</v>
      </c>
      <c r="F93" s="320">
        <v>-35.681614400000001</v>
      </c>
      <c r="G93" s="320">
        <v>6.685797612</v>
      </c>
      <c r="H93" s="320">
        <v>0.14092666704225201</v>
      </c>
      <c r="I93" s="321">
        <v>40</v>
      </c>
      <c r="J93" s="322">
        <v>-4.7342808824630003E-2</v>
      </c>
      <c r="K93" s="322">
        <v>0.81416912533326502</v>
      </c>
      <c r="L93" s="322">
        <v>-1.0600643623825999E-3</v>
      </c>
      <c r="M93" s="323">
        <v>0.132509207320192</v>
      </c>
    </row>
    <row r="94" spans="1:13" ht="15.7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4">
        <v>1.2569600366115099</v>
      </c>
      <c r="F94" s="324">
        <v>-36.607845269999999</v>
      </c>
      <c r="G94" s="324">
        <v>7.3211869529999998</v>
      </c>
      <c r="H94" s="324">
        <v>7.7695999446950006E-2</v>
      </c>
      <c r="I94" s="325">
        <v>40</v>
      </c>
      <c r="J94" s="326">
        <v>-6.9682598068340706E-2</v>
      </c>
      <c r="K94" s="326">
        <v>1.13797018307135</v>
      </c>
      <c r="L94" s="326">
        <v>-8.5220021901797499E-4</v>
      </c>
      <c r="M94" s="327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4" customWidth="1"/>
    <col min="2" max="2" width="7" style="255" customWidth="1"/>
    <col min="3" max="3" width="27.7109375" style="234" customWidth="1"/>
    <col min="4" max="10" width="8.85546875" style="234" customWidth="1"/>
    <col min="11" max="14" width="11.42578125" style="234" customWidth="1"/>
    <col min="15" max="15" width="12.28515625" style="128" customWidth="1"/>
    <col min="16" max="16" width="16.5703125" style="234" customWidth="1"/>
    <col min="17" max="16384" width="11.42578125" style="234"/>
  </cols>
  <sheetData>
    <row r="1" spans="1:16" s="233" customFormat="1">
      <c r="A1" s="131" t="s">
        <v>458</v>
      </c>
      <c r="B1" s="128"/>
      <c r="D1" s="214" t="s">
        <v>547</v>
      </c>
    </row>
    <row r="2" spans="1:16">
      <c r="A2" s="234"/>
      <c r="B2" s="233" t="s">
        <v>459</v>
      </c>
    </row>
    <row r="3" spans="1:16" ht="20.100000000000001" customHeight="1">
      <c r="A3" s="353" t="s">
        <v>248</v>
      </c>
      <c r="B3" s="235" t="s">
        <v>86</v>
      </c>
      <c r="C3" s="236"/>
      <c r="D3" s="355" t="s">
        <v>460</v>
      </c>
      <c r="E3" s="356"/>
      <c r="F3" s="356"/>
      <c r="G3" s="356"/>
      <c r="H3" s="356"/>
      <c r="I3" s="356"/>
      <c r="J3" s="357"/>
      <c r="K3" s="237"/>
      <c r="L3" s="237"/>
      <c r="M3" s="237"/>
      <c r="N3" s="237"/>
      <c r="O3" s="238"/>
      <c r="P3" s="237"/>
    </row>
    <row r="4" spans="1:16" ht="20.100000000000001" customHeight="1">
      <c r="A4" s="354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369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369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.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Daniel Wehrhoff</cp:lastModifiedBy>
  <cp:lastPrinted>2015-03-20T22:59:10Z</cp:lastPrinted>
  <dcterms:created xsi:type="dcterms:W3CDTF">2015-01-15T05:25:41Z</dcterms:created>
  <dcterms:modified xsi:type="dcterms:W3CDTF">2019-06-12T09:19:11Z</dcterms:modified>
</cp:coreProperties>
</file>