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codeName="DieseArbeitsmappe" defaultThemeVersion="124226"/>
  <bookViews>
    <workbookView xWindow="240" yWindow="855" windowWidth="15600" windowHeight="6690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25725" iterate="1" calcOnSave="0"/>
</workbook>
</file>

<file path=xl/calcChain.xml><?xml version="1.0" encoding="utf-8"?>
<calcChain xmlns="http://schemas.openxmlformats.org/spreadsheetml/2006/main">
  <c r="L26" i="7"/>
  <c r="Q26" s="1"/>
  <c r="L25"/>
  <c r="Q25" s="1"/>
  <c r="M26"/>
  <c r="N26"/>
  <c r="O26"/>
  <c r="P26"/>
  <c r="M25"/>
  <c r="N25"/>
  <c r="O25"/>
  <c r="P25"/>
  <c r="I26"/>
  <c r="J26"/>
  <c r="K26"/>
  <c r="H26"/>
  <c r="I25"/>
  <c r="J25"/>
  <c r="K25"/>
  <c r="H25"/>
  <c r="F26"/>
  <c r="F25"/>
  <c r="F24"/>
  <c r="F20"/>
  <c r="F21"/>
  <c r="F19"/>
  <c r="F12"/>
  <c r="F14"/>
  <c r="F13"/>
  <c r="E7" i="18" l="1"/>
  <c r="E6"/>
  <c r="E4"/>
  <c r="E7" i="17"/>
  <c r="E6"/>
  <c r="E4"/>
  <c r="C33" i="15" l="1"/>
  <c r="C32"/>
  <c r="C29"/>
  <c r="C28"/>
  <c r="N70" i="18" l="1"/>
  <c r="M70"/>
  <c r="L70"/>
  <c r="K70"/>
  <c r="J70"/>
  <c r="I70"/>
  <c r="H70"/>
  <c r="G70"/>
  <c r="N69"/>
  <c r="M69"/>
  <c r="L69"/>
  <c r="K69"/>
  <c r="J69"/>
  <c r="I69"/>
  <c r="H69"/>
  <c r="G69"/>
  <c r="F69"/>
  <c r="E69"/>
  <c r="N68"/>
  <c r="M68"/>
  <c r="L68"/>
  <c r="K68"/>
  <c r="J68"/>
  <c r="I68"/>
  <c r="H68"/>
  <c r="G68"/>
  <c r="F68"/>
  <c r="E68"/>
  <c r="N67"/>
  <c r="M67"/>
  <c r="L67"/>
  <c r="K67"/>
  <c r="J67"/>
  <c r="I67"/>
  <c r="H67"/>
  <c r="G67"/>
  <c r="F67"/>
  <c r="E67"/>
  <c r="N66"/>
  <c r="M66"/>
  <c r="L66"/>
  <c r="K66"/>
  <c r="J66"/>
  <c r="I66"/>
  <c r="H66"/>
  <c r="G66"/>
  <c r="F66"/>
  <c r="E66"/>
  <c r="F62"/>
  <c r="L63" s="1"/>
  <c r="N60"/>
  <c r="M60"/>
  <c r="L60"/>
  <c r="K60"/>
  <c r="J60"/>
  <c r="I60"/>
  <c r="H60"/>
  <c r="G60"/>
  <c r="F60"/>
  <c r="E60"/>
  <c r="N59"/>
  <c r="M59"/>
  <c r="L59"/>
  <c r="K59"/>
  <c r="J59"/>
  <c r="I59"/>
  <c r="H59"/>
  <c r="G59"/>
  <c r="F59"/>
  <c r="E59"/>
  <c r="N58"/>
  <c r="M58"/>
  <c r="L58"/>
  <c r="K58"/>
  <c r="J58"/>
  <c r="I58"/>
  <c r="H58"/>
  <c r="G58"/>
  <c r="F58"/>
  <c r="E58"/>
  <c r="N57"/>
  <c r="M57"/>
  <c r="L57"/>
  <c r="K57"/>
  <c r="J57"/>
  <c r="I57"/>
  <c r="H57"/>
  <c r="G57"/>
  <c r="F57"/>
  <c r="E57"/>
  <c r="N56"/>
  <c r="M56"/>
  <c r="L56"/>
  <c r="K56"/>
  <c r="J56"/>
  <c r="I56"/>
  <c r="H56"/>
  <c r="G56"/>
  <c r="F56"/>
  <c r="E56"/>
  <c r="K53"/>
  <c r="F53"/>
  <c r="F52"/>
  <c r="L53" s="1"/>
  <c r="N29"/>
  <c r="M29"/>
  <c r="L29"/>
  <c r="K29"/>
  <c r="J29"/>
  <c r="I29"/>
  <c r="H29"/>
  <c r="G29"/>
  <c r="F29"/>
  <c r="E29"/>
  <c r="T23"/>
  <c r="N19"/>
  <c r="M19"/>
  <c r="L19"/>
  <c r="K19"/>
  <c r="J19"/>
  <c r="I19"/>
  <c r="H19"/>
  <c r="G19"/>
  <c r="F19"/>
  <c r="E19"/>
  <c r="F11"/>
  <c r="F9"/>
  <c r="D32" l="1"/>
  <c r="H31" s="1"/>
  <c r="E63"/>
  <c r="G63"/>
  <c r="J63"/>
  <c r="M63"/>
  <c r="I53"/>
  <c r="N53"/>
  <c r="E53"/>
  <c r="J53"/>
  <c r="F63"/>
  <c r="K63"/>
  <c r="D22"/>
  <c r="F21" s="1"/>
  <c r="G53"/>
  <c r="M53"/>
  <c r="I63"/>
  <c r="N63"/>
  <c r="N21"/>
  <c r="J21"/>
  <c r="M21"/>
  <c r="I21"/>
  <c r="L21"/>
  <c r="K21"/>
  <c r="G21"/>
  <c r="L31"/>
  <c r="G31"/>
  <c r="N31"/>
  <c r="M31"/>
  <c r="I31"/>
  <c r="H53"/>
  <c r="H63"/>
  <c r="D24" i="15"/>
  <c r="C23"/>
  <c r="D56" i="18" l="1"/>
  <c r="J55" s="1"/>
  <c r="F31"/>
  <c r="K31"/>
  <c r="E31" s="1"/>
  <c r="J31"/>
  <c r="H21"/>
  <c r="E21" s="1"/>
  <c r="D66"/>
  <c r="K65" s="1"/>
  <c r="K55"/>
  <c r="G55"/>
  <c r="F55"/>
  <c r="H55"/>
  <c r="M55"/>
  <c r="N55"/>
  <c r="I55"/>
  <c r="F69" i="17"/>
  <c r="G69"/>
  <c r="H69"/>
  <c r="I69"/>
  <c r="J69"/>
  <c r="K69"/>
  <c r="L69"/>
  <c r="M69"/>
  <c r="N69"/>
  <c r="E69"/>
  <c r="M65" i="18" l="1"/>
  <c r="L55"/>
  <c r="E55" s="1"/>
  <c r="L65"/>
  <c r="I65"/>
  <c r="N65"/>
  <c r="H65"/>
  <c r="G65"/>
  <c r="F65"/>
  <c r="J65"/>
  <c r="F11" i="17"/>
  <c r="I47" i="15"/>
  <c r="J47"/>
  <c r="K47"/>
  <c r="L47"/>
  <c r="M47"/>
  <c r="N47"/>
  <c r="O47"/>
  <c r="P47"/>
  <c r="Q47"/>
  <c r="R47"/>
  <c r="S47"/>
  <c r="T47"/>
  <c r="U47"/>
  <c r="V47"/>
  <c r="H47"/>
  <c r="F52" i="17"/>
  <c r="G56"/>
  <c r="H56"/>
  <c r="W11" i="7"/>
  <c r="V11"/>
  <c r="U11"/>
  <c r="T11"/>
  <c r="S11"/>
  <c r="R11"/>
  <c r="R13"/>
  <c r="S13"/>
  <c r="T13"/>
  <c r="U13"/>
  <c r="V13"/>
  <c r="W13"/>
  <c r="R14"/>
  <c r="S14"/>
  <c r="T14"/>
  <c r="U14"/>
  <c r="V14"/>
  <c r="W14"/>
  <c r="R15"/>
  <c r="S15"/>
  <c r="T15"/>
  <c r="U15"/>
  <c r="V15"/>
  <c r="W15"/>
  <c r="R16"/>
  <c r="S16"/>
  <c r="T16"/>
  <c r="U16"/>
  <c r="V16"/>
  <c r="W16"/>
  <c r="R17"/>
  <c r="S17"/>
  <c r="T17"/>
  <c r="U17"/>
  <c r="V17"/>
  <c r="W17"/>
  <c r="R18"/>
  <c r="S18"/>
  <c r="T18"/>
  <c r="U18"/>
  <c r="V18"/>
  <c r="W18"/>
  <c r="R19"/>
  <c r="S19"/>
  <c r="T19"/>
  <c r="U19"/>
  <c r="V19"/>
  <c r="W19"/>
  <c r="R20"/>
  <c r="S20"/>
  <c r="T20"/>
  <c r="U20"/>
  <c r="V20"/>
  <c r="W20"/>
  <c r="R21"/>
  <c r="S21"/>
  <c r="T21"/>
  <c r="U21"/>
  <c r="V21"/>
  <c r="W21"/>
  <c r="R22"/>
  <c r="S22"/>
  <c r="T22"/>
  <c r="U22"/>
  <c r="V22"/>
  <c r="W22"/>
  <c r="R23"/>
  <c r="S23"/>
  <c r="T23"/>
  <c r="U23"/>
  <c r="V23"/>
  <c r="W23"/>
  <c r="R24"/>
  <c r="S24"/>
  <c r="T24"/>
  <c r="U24"/>
  <c r="V24"/>
  <c r="W24"/>
  <c r="R25"/>
  <c r="S25"/>
  <c r="T25"/>
  <c r="U25"/>
  <c r="V25"/>
  <c r="W25"/>
  <c r="R26"/>
  <c r="S26"/>
  <c r="T26"/>
  <c r="U26"/>
  <c r="V26"/>
  <c r="W26"/>
  <c r="S12"/>
  <c r="T12"/>
  <c r="U12"/>
  <c r="V12"/>
  <c r="W12"/>
  <c r="R12"/>
  <c r="E65" i="18" l="1"/>
  <c r="X12" i="7"/>
  <c r="X21"/>
  <c r="X25"/>
  <c r="X13"/>
  <c r="X11"/>
  <c r="X24"/>
  <c r="X23"/>
  <c r="X20"/>
  <c r="X19"/>
  <c r="X16"/>
  <c r="X15"/>
  <c r="X17"/>
  <c r="X26"/>
  <c r="X22"/>
  <c r="X18"/>
  <c r="X14"/>
  <c r="G57" i="17"/>
  <c r="H57"/>
  <c r="I57"/>
  <c r="J57"/>
  <c r="K57"/>
  <c r="L57"/>
  <c r="M57"/>
  <c r="N57"/>
  <c r="F62"/>
  <c r="H63" s="1"/>
  <c r="G53"/>
  <c r="F66"/>
  <c r="G66"/>
  <c r="H66"/>
  <c r="I66"/>
  <c r="J66"/>
  <c r="K66"/>
  <c r="L66"/>
  <c r="M66"/>
  <c r="N66"/>
  <c r="F67"/>
  <c r="G67"/>
  <c r="H67"/>
  <c r="I67"/>
  <c r="J67"/>
  <c r="K67"/>
  <c r="L67"/>
  <c r="M67"/>
  <c r="N67"/>
  <c r="F68"/>
  <c r="G68"/>
  <c r="H68"/>
  <c r="I68"/>
  <c r="J68"/>
  <c r="K68"/>
  <c r="L68"/>
  <c r="M68"/>
  <c r="N68"/>
  <c r="G70"/>
  <c r="H70"/>
  <c r="I70"/>
  <c r="J70"/>
  <c r="K70"/>
  <c r="L70"/>
  <c r="M70"/>
  <c r="N70"/>
  <c r="E66"/>
  <c r="F56"/>
  <c r="I56"/>
  <c r="J56"/>
  <c r="K56"/>
  <c r="L56"/>
  <c r="M56"/>
  <c r="N56"/>
  <c r="F57"/>
  <c r="F58"/>
  <c r="G58"/>
  <c r="H58"/>
  <c r="I58"/>
  <c r="J58"/>
  <c r="K58"/>
  <c r="L58"/>
  <c r="M58"/>
  <c r="N58"/>
  <c r="F59"/>
  <c r="G59"/>
  <c r="H59"/>
  <c r="I59"/>
  <c r="J59"/>
  <c r="K59"/>
  <c r="L59"/>
  <c r="M59"/>
  <c r="N59"/>
  <c r="F60"/>
  <c r="G60"/>
  <c r="H60"/>
  <c r="I60"/>
  <c r="J60"/>
  <c r="K60"/>
  <c r="L60"/>
  <c r="M60"/>
  <c r="N60"/>
  <c r="E60"/>
  <c r="E58"/>
  <c r="E56"/>
  <c r="F63"/>
  <c r="F53"/>
  <c r="M53"/>
  <c r="F19"/>
  <c r="G19"/>
  <c r="H19"/>
  <c r="I19"/>
  <c r="J19"/>
  <c r="K19"/>
  <c r="L19"/>
  <c r="M19"/>
  <c r="N19"/>
  <c r="E19"/>
  <c r="F29"/>
  <c r="G29"/>
  <c r="H29"/>
  <c r="I29"/>
  <c r="J29"/>
  <c r="K29"/>
  <c r="L29"/>
  <c r="M29"/>
  <c r="N29"/>
  <c r="E29"/>
  <c r="T23"/>
  <c r="E67"/>
  <c r="E59"/>
  <c r="E57"/>
  <c r="E68"/>
  <c r="E63" l="1"/>
  <c r="J63"/>
  <c r="G63"/>
  <c r="N63"/>
  <c r="K63"/>
  <c r="N53"/>
  <c r="J53"/>
  <c r="I53"/>
  <c r="M63"/>
  <c r="I63"/>
  <c r="L63"/>
  <c r="L53"/>
  <c r="H53"/>
  <c r="E53"/>
  <c r="K53"/>
  <c r="D22"/>
  <c r="D32"/>
  <c r="J31" l="1"/>
  <c r="N31"/>
  <c r="G31"/>
  <c r="K31"/>
  <c r="F31"/>
  <c r="H31"/>
  <c r="L31"/>
  <c r="I31"/>
  <c r="M31"/>
  <c r="G21"/>
  <c r="K21"/>
  <c r="F21"/>
  <c r="H21"/>
  <c r="L21"/>
  <c r="I21"/>
  <c r="M21"/>
  <c r="J21"/>
  <c r="N21"/>
  <c r="D56"/>
  <c r="D66"/>
  <c r="G65" l="1"/>
  <c r="K65"/>
  <c r="F65"/>
  <c r="H65"/>
  <c r="L65"/>
  <c r="I65"/>
  <c r="M65"/>
  <c r="J65"/>
  <c r="N65"/>
  <c r="I55"/>
  <c r="M55"/>
  <c r="J55"/>
  <c r="N55"/>
  <c r="G55"/>
  <c r="K55"/>
  <c r="F55"/>
  <c r="H55"/>
  <c r="L55"/>
  <c r="E31"/>
  <c r="E21"/>
  <c r="E65" l="1"/>
  <c r="E55"/>
  <c r="F9"/>
  <c r="E33" i="1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D28" i="5" l="1"/>
  <c r="C7" i="1"/>
  <c r="J8" i="7"/>
  <c r="D8"/>
  <c r="D8" i="15"/>
  <c r="C5" i="1" l="1"/>
  <c r="E5" i="18"/>
  <c r="E5" i="17"/>
  <c r="C4" i="1"/>
  <c r="C6"/>
  <c r="D5" i="7"/>
  <c r="D7"/>
  <c r="D7" i="15"/>
  <c r="D5"/>
  <c r="E10" i="1"/>
  <c r="C20" i="15" l="1"/>
  <c r="C19"/>
  <c r="M9" i="4" l="1"/>
  <c r="A93" i="8" l="1"/>
  <c r="B93" s="1"/>
  <c r="A94"/>
  <c r="C94" s="1"/>
  <c r="A4"/>
  <c r="B4" s="1"/>
  <c r="A5"/>
  <c r="B5" s="1"/>
  <c r="A6"/>
  <c r="A7"/>
  <c r="B7" s="1"/>
  <c r="A8"/>
  <c r="B8" s="1"/>
  <c r="A9"/>
  <c r="B9" s="1"/>
  <c r="A10"/>
  <c r="C10" s="1"/>
  <c r="A11"/>
  <c r="B11" s="1"/>
  <c r="A12"/>
  <c r="B12" s="1"/>
  <c r="A13"/>
  <c r="B13" s="1"/>
  <c r="A14"/>
  <c r="C14" s="1"/>
  <c r="A15"/>
  <c r="C15" s="1"/>
  <c r="A16"/>
  <c r="B16" s="1"/>
  <c r="A17"/>
  <c r="B17" s="1"/>
  <c r="A18"/>
  <c r="C18" s="1"/>
  <c r="A19"/>
  <c r="B19" s="1"/>
  <c r="A20"/>
  <c r="B20" s="1"/>
  <c r="A21"/>
  <c r="B21" s="1"/>
  <c r="A22"/>
  <c r="C22" s="1"/>
  <c r="A23"/>
  <c r="C23" s="1"/>
  <c r="A24"/>
  <c r="B24" s="1"/>
  <c r="A25"/>
  <c r="B25" s="1"/>
  <c r="A26"/>
  <c r="C26" s="1"/>
  <c r="A27"/>
  <c r="C27" s="1"/>
  <c r="A28"/>
  <c r="B28" s="1"/>
  <c r="A29"/>
  <c r="B29" s="1"/>
  <c r="A30"/>
  <c r="C30" s="1"/>
  <c r="A31"/>
  <c r="C31" s="1"/>
  <c r="A32"/>
  <c r="B32" s="1"/>
  <c r="A33"/>
  <c r="B33" s="1"/>
  <c r="A34"/>
  <c r="C34" s="1"/>
  <c r="A35"/>
  <c r="B35" s="1"/>
  <c r="A36"/>
  <c r="B36" s="1"/>
  <c r="A37"/>
  <c r="B37" s="1"/>
  <c r="A38"/>
  <c r="C38" s="1"/>
  <c r="A39"/>
  <c r="C39" s="1"/>
  <c r="A40"/>
  <c r="B40" s="1"/>
  <c r="A41"/>
  <c r="B41" s="1"/>
  <c r="A42"/>
  <c r="C42" s="1"/>
  <c r="A43"/>
  <c r="B43" s="1"/>
  <c r="A44"/>
  <c r="B44" s="1"/>
  <c r="A45"/>
  <c r="B45" s="1"/>
  <c r="A46"/>
  <c r="C46" s="1"/>
  <c r="A47"/>
  <c r="C47" s="1"/>
  <c r="A48"/>
  <c r="B48" s="1"/>
  <c r="A49"/>
  <c r="B49" s="1"/>
  <c r="A50"/>
  <c r="C50" s="1"/>
  <c r="A51"/>
  <c r="B51" s="1"/>
  <c r="A52"/>
  <c r="B52" s="1"/>
  <c r="A53"/>
  <c r="B53" s="1"/>
  <c r="A54"/>
  <c r="C54" s="1"/>
  <c r="A55"/>
  <c r="C55" s="1"/>
  <c r="A56"/>
  <c r="B56" s="1"/>
  <c r="A57"/>
  <c r="B57" s="1"/>
  <c r="A58"/>
  <c r="C58" s="1"/>
  <c r="A59"/>
  <c r="C59" s="1"/>
  <c r="A60"/>
  <c r="B60" s="1"/>
  <c r="A61"/>
  <c r="B61" s="1"/>
  <c r="A62"/>
  <c r="C62" s="1"/>
  <c r="A63"/>
  <c r="C63" s="1"/>
  <c r="A64"/>
  <c r="B64" s="1"/>
  <c r="A65"/>
  <c r="B65" s="1"/>
  <c r="A66"/>
  <c r="C66" s="1"/>
  <c r="A67"/>
  <c r="B67" s="1"/>
  <c r="A68"/>
  <c r="B68" s="1"/>
  <c r="A69"/>
  <c r="B69" s="1"/>
  <c r="A70"/>
  <c r="C70" s="1"/>
  <c r="A71"/>
  <c r="B71" s="1"/>
  <c r="A72"/>
  <c r="B72" s="1"/>
  <c r="A73"/>
  <c r="B73" s="1"/>
  <c r="A74"/>
  <c r="C74" s="1"/>
  <c r="A75"/>
  <c r="C75" s="1"/>
  <c r="A76"/>
  <c r="B76" s="1"/>
  <c r="A77"/>
  <c r="B77" s="1"/>
  <c r="A78"/>
  <c r="C78" s="1"/>
  <c r="A79"/>
  <c r="B79" s="1"/>
  <c r="A80"/>
  <c r="B80" s="1"/>
  <c r="A81"/>
  <c r="B81" s="1"/>
  <c r="A82"/>
  <c r="C82" s="1"/>
  <c r="A83"/>
  <c r="B83" s="1"/>
  <c r="A84"/>
  <c r="B84" s="1"/>
  <c r="A85"/>
  <c r="B85" s="1"/>
  <c r="A86"/>
  <c r="C86" s="1"/>
  <c r="A87"/>
  <c r="B87" s="1"/>
  <c r="A88"/>
  <c r="B88" s="1"/>
  <c r="A89"/>
  <c r="B89" s="1"/>
  <c r="A90"/>
  <c r="C90" s="1"/>
  <c r="A91"/>
  <c r="C91" s="1"/>
  <c r="A92"/>
  <c r="B92" s="1"/>
  <c r="A3"/>
  <c r="M22" i="4"/>
  <c r="K22"/>
  <c r="K21"/>
  <c r="J21"/>
  <c r="I21"/>
  <c r="H21"/>
  <c r="G21"/>
  <c r="F21"/>
  <c r="E21"/>
  <c r="D21"/>
  <c r="M20"/>
  <c r="M19"/>
  <c r="M16"/>
  <c r="M18"/>
  <c r="M17"/>
  <c r="M15"/>
  <c r="M14"/>
  <c r="M13"/>
  <c r="M12"/>
  <c r="M11"/>
  <c r="C11" i="8" l="1"/>
  <c r="C8"/>
  <c r="C3"/>
  <c r="B3"/>
  <c r="C6"/>
  <c r="B6"/>
  <c r="C43"/>
  <c r="B47"/>
  <c r="B59"/>
  <c r="B27"/>
  <c r="C51"/>
  <c r="B31"/>
  <c r="B63"/>
  <c r="C19"/>
  <c r="C7"/>
  <c r="C79"/>
  <c r="B39"/>
  <c r="B15"/>
  <c r="C4"/>
  <c r="C67"/>
  <c r="C35"/>
  <c r="B55"/>
  <c r="B23"/>
  <c r="M21" i="4"/>
  <c r="B94" i="8"/>
  <c r="C83"/>
  <c r="B75"/>
  <c r="C72"/>
  <c r="C64"/>
  <c r="C60"/>
  <c r="C56"/>
  <c r="C52"/>
  <c r="C48"/>
  <c r="C44"/>
  <c r="C40"/>
  <c r="C36"/>
  <c r="C32"/>
  <c r="C28"/>
  <c r="C24"/>
  <c r="C20"/>
  <c r="C16"/>
  <c r="C12"/>
  <c r="C80"/>
  <c r="B66"/>
  <c r="B62"/>
  <c r="B58"/>
  <c r="B54"/>
  <c r="B50"/>
  <c r="B46"/>
  <c r="B42"/>
  <c r="B38"/>
  <c r="B34"/>
  <c r="B30"/>
  <c r="B26"/>
  <c r="B22"/>
  <c r="B18"/>
  <c r="B14"/>
  <c r="B10"/>
  <c r="B91"/>
  <c r="C88"/>
  <c r="C87"/>
  <c r="C71"/>
  <c r="C84"/>
  <c r="C68"/>
  <c r="C92"/>
  <c r="C76"/>
  <c r="B90"/>
  <c r="B86"/>
  <c r="B82"/>
  <c r="B78"/>
  <c r="B74"/>
  <c r="B70"/>
  <c r="C93"/>
  <c r="C89"/>
  <c r="C85"/>
  <c r="C81"/>
  <c r="C77"/>
  <c r="C73"/>
  <c r="C69"/>
  <c r="C65"/>
  <c r="C61"/>
  <c r="C57"/>
  <c r="C53"/>
  <c r="C49"/>
  <c r="C45"/>
  <c r="C41"/>
  <c r="C37"/>
  <c r="C33"/>
  <c r="C29"/>
  <c r="C25"/>
  <c r="C21"/>
  <c r="C17"/>
  <c r="C13"/>
  <c r="C9"/>
  <c r="C5"/>
  <c r="K13" i="7" l="1"/>
  <c r="O13"/>
  <c r="J14"/>
  <c r="N14"/>
  <c r="I15"/>
  <c r="M15"/>
  <c r="H16"/>
  <c r="L16"/>
  <c r="P16"/>
  <c r="K17"/>
  <c r="O17"/>
  <c r="J18"/>
  <c r="N18"/>
  <c r="I19"/>
  <c r="M19"/>
  <c r="H20"/>
  <c r="L20"/>
  <c r="P20"/>
  <c r="K21"/>
  <c r="O21"/>
  <c r="J22"/>
  <c r="N22"/>
  <c r="I23"/>
  <c r="M23"/>
  <c r="H24"/>
  <c r="L24"/>
  <c r="P24"/>
  <c r="M12"/>
  <c r="I12"/>
  <c r="N11"/>
  <c r="L11"/>
  <c r="H11"/>
  <c r="I13"/>
  <c r="L14"/>
  <c r="K15"/>
  <c r="N16"/>
  <c r="M17"/>
  <c r="L18"/>
  <c r="K19"/>
  <c r="J20"/>
  <c r="I21"/>
  <c r="H22"/>
  <c r="P22"/>
  <c r="O23"/>
  <c r="N24"/>
  <c r="O12"/>
  <c r="P11"/>
  <c r="N13"/>
  <c r="I14"/>
  <c r="H15"/>
  <c r="P15"/>
  <c r="O16"/>
  <c r="N17"/>
  <c r="M18"/>
  <c r="L19"/>
  <c r="K20"/>
  <c r="J21"/>
  <c r="I22"/>
  <c r="H23"/>
  <c r="P23"/>
  <c r="O24"/>
  <c r="P12"/>
  <c r="M11"/>
  <c r="H13"/>
  <c r="L13"/>
  <c r="P13"/>
  <c r="K14"/>
  <c r="O14"/>
  <c r="J15"/>
  <c r="N15"/>
  <c r="I16"/>
  <c r="M16"/>
  <c r="H17"/>
  <c r="L17"/>
  <c r="P17"/>
  <c r="K18"/>
  <c r="O18"/>
  <c r="J19"/>
  <c r="N19"/>
  <c r="I20"/>
  <c r="M20"/>
  <c r="H21"/>
  <c r="L21"/>
  <c r="P21"/>
  <c r="K22"/>
  <c r="O22"/>
  <c r="J23"/>
  <c r="N23"/>
  <c r="I24"/>
  <c r="M24"/>
  <c r="N12"/>
  <c r="J12"/>
  <c r="O11"/>
  <c r="J11"/>
  <c r="M13"/>
  <c r="H14"/>
  <c r="P14"/>
  <c r="O15"/>
  <c r="J16"/>
  <c r="I17"/>
  <c r="H18"/>
  <c r="P18"/>
  <c r="O19"/>
  <c r="N20"/>
  <c r="M21"/>
  <c r="L22"/>
  <c r="K23"/>
  <c r="J24"/>
  <c r="K12"/>
  <c r="K11"/>
  <c r="J13"/>
  <c r="M14"/>
  <c r="L15"/>
  <c r="K16"/>
  <c r="J17"/>
  <c r="I18"/>
  <c r="H19"/>
  <c r="P19"/>
  <c r="O20"/>
  <c r="N21"/>
  <c r="M22"/>
  <c r="L23"/>
  <c r="K24"/>
  <c r="L12"/>
  <c r="H12"/>
  <c r="I11"/>
  <c r="F23"/>
  <c r="F17"/>
  <c r="F15"/>
  <c r="F22"/>
  <c r="F18"/>
  <c r="F16"/>
  <c r="F11"/>
  <c r="M8" i="4"/>
  <c r="M7"/>
  <c r="D6" i="15"/>
  <c r="D6" i="7"/>
  <c r="Q18" l="1"/>
  <c r="Q13"/>
  <c r="Q15"/>
  <c r="Q11"/>
  <c r="Q20"/>
  <c r="Q12"/>
  <c r="Q16"/>
  <c r="Q21"/>
  <c r="Q22"/>
  <c r="Q19"/>
  <c r="Q14"/>
  <c r="Q17"/>
  <c r="Q23"/>
  <c r="Q24"/>
  <c r="C41"/>
  <c r="C29"/>
  <c r="C20"/>
  <c r="C14"/>
  <c r="C12"/>
  <c r="C19"/>
  <c r="C26"/>
  <c r="C31"/>
  <c r="C32"/>
  <c r="C16"/>
  <c r="C25"/>
  <c r="C28"/>
  <c r="C34"/>
  <c r="C15"/>
  <c r="C39"/>
  <c r="C36"/>
  <c r="C17"/>
  <c r="C33"/>
  <c r="C22"/>
  <c r="C38"/>
  <c r="C27"/>
  <c r="C30"/>
  <c r="C13"/>
  <c r="C23"/>
  <c r="C18"/>
  <c r="C35"/>
  <c r="C21"/>
  <c r="C40"/>
  <c r="C24"/>
  <c r="C37"/>
</calcChain>
</file>

<file path=xl/sharedStrings.xml><?xml version="1.0" encoding="utf-8"?>
<sst xmlns="http://schemas.openxmlformats.org/spreadsheetml/2006/main" count="1378" uniqueCount="679">
  <si>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</si>
  <si>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</si>
  <si>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</si>
  <si>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</si>
  <si>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</si>
  <si>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</si>
  <si>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</si>
  <si>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</si>
  <si>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</si>
  <si>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</si>
  <si>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</si>
  <si>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</si>
  <si>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</si>
  <si>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</si>
  <si>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</si>
  <si>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</si>
  <si>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</si>
  <si>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</si>
  <si>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</si>
  <si>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</si>
  <si>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</si>
  <si>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</si>
  <si>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</si>
  <si>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</si>
  <si>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</si>
  <si>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</si>
  <si>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</si>
  <si>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</si>
  <si>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</si>
  <si>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</si>
  <si>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</si>
  <si>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</si>
  <si>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</si>
  <si>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</si>
  <si>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</si>
  <si>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</si>
  <si>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</si>
  <si>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</si>
  <si>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</si>
  <si>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</si>
  <si>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</si>
  <si>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</si>
  <si>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</si>
  <si>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</si>
  <si>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</si>
  <si>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</si>
  <si>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</si>
  <si>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</si>
  <si>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</si>
  <si>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</si>
  <si>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</si>
  <si>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</si>
  <si>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</si>
  <si>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</si>
  <si>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</si>
  <si>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</si>
  <si>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</si>
  <si>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</si>
  <si>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</si>
  <si>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</si>
  <si>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</si>
  <si>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</si>
  <si>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</si>
  <si>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</si>
  <si>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</si>
  <si>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</si>
  <si>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</si>
  <si>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</si>
  <si>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</si>
  <si>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</si>
  <si>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</si>
  <si>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</si>
  <si>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</si>
  <si>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</si>
  <si>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</si>
  <si>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</si>
  <si>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</si>
  <si>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</si>
  <si>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</si>
  <si>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</si>
  <si>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</si>
  <si>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</si>
  <si>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</si>
  <si>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</si>
  <si>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</si>
  <si>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</si>
  <si>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</si>
  <si>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</si>
  <si>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</si>
  <si>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</si>
  <si>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</si>
  <si>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</si>
  <si>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</si>
  <si>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</si>
  <si>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</si>
  <si>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</si>
  <si>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</si>
  <si>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</si>
  <si>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</si>
  <si>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</si>
  <si>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</si>
  <si>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</si>
  <si>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</si>
  <si>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</si>
  <si>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</si>
  <si>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</si>
  <si>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</si>
  <si>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</si>
  <si>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</si>
  <si>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</si>
  <si>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</si>
  <si>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</si>
  <si>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</si>
  <si>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</si>
  <si>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</si>
  <si>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</si>
  <si>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</si>
  <si>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</si>
  <si>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</si>
  <si>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</si>
  <si>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</si>
  <si>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</si>
  <si>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</si>
  <si>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</si>
  <si>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</si>
  <si>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</si>
  <si>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</si>
  <si>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</si>
  <si>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</si>
  <si>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</si>
  <si>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</si>
  <si>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</si>
  <si>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</si>
  <si>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</si>
  <si>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</si>
  <si>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</si>
  <si>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</si>
  <si>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</si>
  <si>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</si>
  <si>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</si>
  <si>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</si>
  <si>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</si>
  <si>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</si>
  <si>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</si>
  <si>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</si>
  <si>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</si>
  <si>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</si>
  <si>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</si>
  <si>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</si>
  <si>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</si>
  <si>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</si>
  <si>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</si>
  <si>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</si>
  <si>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</si>
  <si>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</si>
  <si>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</si>
  <si>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</si>
  <si>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</si>
  <si>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</si>
  <si>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</si>
  <si>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</si>
  <si>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</si>
  <si>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</si>
  <si>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</si>
  <si>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</si>
  <si>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</si>
  <si>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</si>
  <si>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</si>
  <si>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</si>
  <si>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</si>
  <si>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</si>
  <si>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</si>
  <si>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</si>
  <si>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</si>
  <si>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</si>
  <si>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</si>
  <si>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</si>
  <si>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</si>
  <si>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</si>
  <si>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</si>
  <si>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</si>
  <si>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</si>
  <si>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</si>
  <si>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</si>
  <si>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</si>
  <si>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</si>
  <si>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</si>
  <si>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</si>
  <si>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</si>
  <si>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</si>
  <si>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</si>
  <si>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</si>
  <si>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</si>
  <si>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</si>
  <si>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</si>
  <si>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</si>
  <si>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</si>
  <si>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</si>
  <si>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</si>
  <si>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</si>
  <si>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</si>
  <si>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</si>
  <si>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</si>
  <si>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</si>
  <si>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</si>
  <si>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</si>
  <si>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</si>
  <si>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</si>
  <si>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</si>
  <si>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</si>
  <si>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</si>
  <si>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</si>
  <si>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</si>
  <si>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</si>
  <si>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</si>
  <si>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</si>
  <si>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</si>
  <si>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</si>
  <si>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</si>
  <si>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</si>
  <si>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</si>
  <si>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</si>
  <si>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</si>
  <si>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</si>
  <si>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</si>
  <si>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</si>
  <si>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</si>
  <si>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</si>
  <si>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</si>
  <si>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</si>
  <si>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</si>
  <si>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</si>
  <si>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</si>
  <si>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</si>
  <si>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</si>
  <si>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</si>
  <si>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</si>
  <si>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</si>
  <si>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</si>
  <si>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</si>
  <si>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</si>
  <si>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</si>
  <si>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</si>
  <si>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</si>
  <si>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</si>
  <si>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</si>
  <si>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</si>
  <si>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</si>
  <si>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</si>
  <si>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</si>
  <si>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</si>
  <si>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</si>
  <si>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</si>
  <si>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</si>
  <si>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</si>
  <si>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</si>
  <si>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</si>
  <si>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</si>
  <si>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</si>
  <si>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</si>
  <si>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</si>
  <si>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</si>
  <si>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</si>
  <si>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</si>
  <si>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</si>
  <si>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</si>
  <si>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</si>
  <si>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</si>
  <si>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</si>
  <si>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</si>
  <si>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</si>
  <si>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</si>
  <si>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</si>
  <si>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</si>
  <si>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</si>
  <si>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</si>
  <si>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</si>
  <si>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</si>
  <si>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</si>
  <si>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</si>
  <si>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</si>
  <si>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</si>
  <si>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</si>
  <si>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</si>
  <si>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</si>
  <si>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</si>
  <si>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</si>
  <si>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</si>
  <si>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</si>
  <si>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</si>
  <si>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</si>
  <si>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</si>
  <si>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</si>
  <si>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</si>
  <si>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</si>
  <si>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</si>
  <si>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</si>
  <si>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</si>
  <si>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</si>
  <si>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</si>
  <si>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</si>
  <si>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</si>
  <si>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</si>
  <si>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</si>
  <si>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</si>
  <si>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</si>
  <si>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</si>
  <si>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</si>
  <si>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</si>
  <si>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</si>
  <si>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</si>
  <si>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</si>
  <si>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</si>
  <si>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</si>
  <si>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</si>
  <si>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</si>
  <si>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</si>
  <si>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</si>
  <si>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</si>
  <si>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</si>
  <si>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</si>
  <si>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</si>
  <si>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</si>
  <si>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</si>
  <si>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</si>
  <si>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</si>
  <si>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</si>
  <si>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</si>
  <si>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</si>
  <si>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</si>
  <si>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</si>
  <si>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</si>
  <si>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</si>
  <si>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</si>
  <si>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</si>
  <si>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</si>
  <si>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</si>
  <si>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</si>
  <si>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</si>
  <si>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</si>
  <si>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</si>
  <si>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</si>
  <si>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</si>
  <si>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</si>
  <si>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</si>
  <si>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</si>
  <si>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</si>
  <si>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</si>
  <si>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</si>
  <si>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</si>
  <si>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</si>
  <si>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</si>
  <si>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</si>
  <si>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</si>
  <si>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</si>
  <si>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</si>
  <si>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</si>
  <si>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</si>
  <si>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</si>
  <si>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</si>
  <si>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</si>
  <si>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</si>
  <si>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</si>
  <si>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</si>
  <si>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</si>
  <si>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</si>
  <si>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</si>
  <si>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</si>
  <si>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</si>
  <si>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</si>
  <si>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</si>
  <si>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</si>
  <si>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</si>
  <si>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</si>
  <si>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</si>
  <si>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</si>
  <si>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</si>
  <si>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</si>
  <si>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</si>
  <si>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</si>
  <si>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</si>
  <si>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</si>
  <si>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</si>
  <si>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</si>
  <si>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</si>
  <si>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</si>
  <si>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</si>
  <si>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</si>
  <si>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</si>
  <si>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</si>
  <si>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</si>
  <si>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</si>
  <si>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</si>
  <si>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</si>
  <si>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</si>
  <si>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</si>
  <si>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</si>
  <si>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</si>
  <si>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</si>
  <si>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</si>
  <si>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</si>
  <si>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</si>
  <si>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</si>
  <si>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</si>
  <si>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</si>
  <si>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</si>
  <si>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</si>
  <si>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</si>
  <si>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</si>
  <si>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</si>
  <si>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</si>
  <si>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</si>
  <si>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</si>
  <si>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</si>
  <si>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</si>
  <si>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</si>
  <si>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</si>
  <si>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</si>
  <si>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</si>
  <si>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</si>
  <si>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</si>
  <si>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</si>
  <si>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</si>
  <si>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</si>
  <si>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</si>
  <si>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</si>
  <si>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</si>
  <si>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</si>
  <si>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</si>
  <si>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</si>
  <si>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</si>
  <si>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</si>
  <si>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</si>
  <si>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</si>
  <si>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</si>
  <si>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</si>
  <si>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</si>
  <si>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</si>
  <si>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</si>
  <si>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</si>
  <si>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</si>
  <si>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</si>
  <si>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</si>
  <si>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</si>
  <si>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</si>
  <si>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</si>
  <si>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</si>
  <si>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</si>
  <si>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</si>
  <si>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</si>
  <si>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</si>
  <si>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</si>
  <si>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</si>
  <si>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</si>
  <si>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</si>
  <si>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</si>
  <si>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</si>
  <si>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</si>
  <si>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</si>
  <si>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</si>
  <si>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</si>
  <si>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</si>
  <si>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</si>
  <si>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</si>
  <si>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</si>
  <si>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</si>
  <si>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</si>
  <si>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</si>
  <si>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</si>
  <si>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</si>
  <si>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</si>
  <si>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</si>
  <si>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</si>
  <si>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</si>
  <si>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</si>
  <si>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</si>
  <si>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</si>
  <si>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</si>
  <si>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</si>
  <si>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</si>
  <si>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</si>
  <si>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</si>
  <si>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</si>
  <si>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</si>
  <si>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</si>
  <si>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</si>
  <si>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</si>
  <si>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</si>
  <si>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</si>
  <si>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</si>
  <si>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</si>
  <si>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</si>
  <si>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</si>
  <si>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</si>
  <si>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</si>
  <si>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</si>
  <si>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</si>
  <si>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</si>
  <si>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</si>
  <si>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</si>
  <si>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</si>
  <si>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</si>
  <si>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</si>
  <si>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</si>
  <si>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</si>
  <si>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</si>
  <si>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</si>
  <si>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</si>
  <si>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</si>
  <si>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</si>
  <si>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</si>
  <si>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</si>
  <si>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</si>
  <si>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</si>
  <si>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</si>
  <si>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</si>
  <si>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</si>
  <si>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</si>
  <si>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</si>
  <si>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</si>
  <si>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</si>
  <si>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</si>
  <si>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</si>
  <si>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</si>
  <si>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</si>
  <si>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</si>
  <si>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</si>
  <si>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</si>
  <si>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</si>
  <si>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</si>
  <si>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</si>
  <si>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</si>
  <si>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</si>
  <si>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</si>
  <si>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</si>
  <si>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</si>
  <si>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</si>
  <si>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</si>
  <si>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</si>
  <si>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</si>
  <si>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</si>
  <si>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</si>
  <si>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</si>
  <si>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</si>
  <si>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</si>
  <si>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</si>
  <si>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</si>
  <si>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</si>
  <si>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</si>
  <si>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</si>
  <si>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</si>
  <si>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</si>
  <si>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</si>
  <si>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</si>
  <si>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</si>
  <si>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</si>
  <si>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</si>
  <si>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</si>
  <si>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</si>
  <si>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</si>
  <si>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</si>
  <si>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</si>
  <si>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</si>
  <si>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</si>
  <si>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</si>
  <si>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</si>
  <si>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</si>
  <si>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</si>
  <si>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</si>
  <si>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</si>
  <si>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</si>
  <si>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</si>
  <si>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</si>
  <si>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</si>
  <si>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</si>
  <si>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</si>
  <si>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</si>
  <si>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</si>
  <si>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</si>
  <si>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</si>
  <si>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</si>
  <si>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</si>
  <si>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</si>
  <si>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</si>
  <si>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</si>
  <si>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</si>
  <si>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</si>
  <si>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</si>
  <si>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</si>
  <si>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</si>
  <si>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</si>
  <si>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</si>
  <si>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</si>
  <si>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</si>
  <si>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</si>
  <si>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</si>
  <si>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</si>
  <si>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</si>
  <si>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</si>
  <si>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</si>
  <si>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</si>
  <si>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</si>
  <si>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</si>
  <si>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</si>
  <si>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</si>
  <si>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</si>
  <si>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</si>
  <si>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</si>
  <si>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</si>
  <si>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</si>
  <si>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</si>
  <si>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</si>
  <si>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</si>
  <si>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</si>
  <si>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</si>
  <si>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</si>
  <si>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</si>
  <si>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</si>
  <si>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</si>
  <si>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</si>
  <si>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</si>
  <si>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</si>
  <si>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</si>
  <si>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</si>
  <si>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</si>
  <si>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</si>
  <si>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</si>
  <si>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</si>
  <si>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</si>
  <si>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</si>
  <si>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</si>
  <si>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</si>
  <si>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</si>
  <si>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</si>
  <si>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</si>
  <si>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</si>
  <si>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</si>
  <si>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</si>
  <si>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</si>
  <si>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</si>
  <si>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</si>
  <si>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</si>
  <si>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</si>
  <si>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</si>
  <si>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</si>
  <si>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</si>
  <si>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</si>
  <si>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</si>
  <si>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</si>
  <si>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</si>
  <si>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</si>
  <si>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</si>
  <si>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</si>
  <si>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</si>
  <si>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</si>
  <si>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</si>
  <si>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</si>
  <si>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</si>
  <si>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Stadtwerke Burgdorf Netz GmbH</t>
  </si>
  <si>
    <t>98701054000004</t>
  </si>
  <si>
    <t>Vor dem Hannoverschen Tor 12</t>
  </si>
  <si>
    <t>Burgdorf</t>
  </si>
  <si>
    <t>Team Netznutzungsmanagement</t>
  </si>
  <si>
    <t>sw.burgdorf@edi-gas.de</t>
  </si>
  <si>
    <t>0361/564-2320</t>
  </si>
  <si>
    <t>Netz Burgdorf</t>
  </si>
  <si>
    <t>DE_GBA04</t>
  </si>
  <si>
    <t>DE_GBD04</t>
  </si>
  <si>
    <t>DE_GBH04</t>
  </si>
  <si>
    <t>DE_GGA04</t>
  </si>
  <si>
    <t>DE_GGB04</t>
  </si>
  <si>
    <t>DE_GHA04</t>
  </si>
  <si>
    <t>DE_GHD04</t>
  </si>
  <si>
    <t>DE_GKO04</t>
  </si>
  <si>
    <t>DE_GMF04</t>
  </si>
  <si>
    <t>DE_GMK04</t>
  </si>
  <si>
    <t>DE_GPD04</t>
  </si>
  <si>
    <t>DE_GWA04</t>
  </si>
  <si>
    <t xml:space="preserve"> NI  </t>
  </si>
</sst>
</file>

<file path=xl/styles.xml><?xml version="1.0" encoding="utf-8"?>
<styleSheet xmlns="http://schemas.openxmlformats.org/spreadsheetml/2006/main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  <xf numFmtId="49" fontId="0" fillId="33" borderId="17" xfId="0" applyNumberFormat="1" applyFill="1" applyBorder="1" applyAlignment="1" applyProtection="1">
      <alignment horizontal="center"/>
      <protection locked="0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Dezimal" xfId="1" builtinId="3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3"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469</v>
      </c>
    </row>
    <row r="3" spans="2:7"/>
    <row r="4" spans="2:7">
      <c r="B4" s="8" t="s">
        <v>464</v>
      </c>
    </row>
    <row r="5" spans="2:7">
      <c r="B5" s="8" t="s">
        <v>465</v>
      </c>
    </row>
    <row r="6" spans="2:7"/>
    <row r="7" spans="2:7">
      <c r="B7" t="s">
        <v>339</v>
      </c>
    </row>
    <row r="8" spans="2:7" s="8" customFormat="1">
      <c r="B8" s="8" t="s">
        <v>466</v>
      </c>
    </row>
    <row r="9" spans="2:7" s="8" customFormat="1"/>
    <row r="10" spans="2:7" s="8" customFormat="1">
      <c r="B10" s="14" t="s">
        <v>451</v>
      </c>
    </row>
    <row r="11" spans="2:7" s="8" customFormat="1">
      <c r="B11" s="8" t="s">
        <v>502</v>
      </c>
    </row>
    <row r="12" spans="2:7" s="8" customFormat="1">
      <c r="B12" s="8" t="s">
        <v>503</v>
      </c>
    </row>
    <row r="13" spans="2:7" s="8" customFormat="1">
      <c r="B13" s="8" t="s">
        <v>509</v>
      </c>
    </row>
    <row r="14" spans="2:7" s="8" customFormat="1"/>
    <row r="15" spans="2:7">
      <c r="B15" s="20" t="s">
        <v>468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467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42191</v>
      </c>
      <c r="E29" s="8"/>
      <c r="F29" s="8"/>
      <c r="G29" s="8"/>
      <c r="H29" s="8"/>
    </row>
    <row r="30" spans="2:12">
      <c r="B30" s="21" t="s">
        <v>349</v>
      </c>
      <c r="C30" s="328" t="s">
        <v>653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C32" sqref="C32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657</v>
      </c>
      <c r="D4" s="27">
        <v>42675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656</v>
      </c>
      <c r="D6" s="27">
        <v>42675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658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489</v>
      </c>
      <c r="D11" s="355" t="s">
        <v>659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660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31303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661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662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663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664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490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463</v>
      </c>
      <c r="D27" s="42" t="s">
        <v>397</v>
      </c>
      <c r="E27" s="39"/>
      <c r="F27" s="11"/>
    </row>
    <row r="28" spans="1:15">
      <c r="B28" s="15"/>
      <c r="C28" s="65" t="s">
        <v>505</v>
      </c>
      <c r="D28" s="48" t="str">
        <f>IF(D27&lt;&gt;C28,VLOOKUP(D27,$C$29:$D$48,2,FALSE),C28)</f>
        <v>Netz Burgdorf</v>
      </c>
      <c r="E28" s="38"/>
      <c r="F28" s="11"/>
      <c r="G28" s="2"/>
    </row>
    <row r="29" spans="1:15">
      <c r="B29" s="15"/>
      <c r="C29" s="22" t="s">
        <v>397</v>
      </c>
      <c r="D29" s="45" t="s">
        <v>665</v>
      </c>
      <c r="E29" s="40"/>
      <c r="F29" s="11"/>
      <c r="G29" s="2"/>
    </row>
    <row r="30" spans="1:15">
      <c r="B30" s="15"/>
      <c r="C30" s="22" t="s">
        <v>398</v>
      </c>
      <c r="D30" s="45"/>
      <c r="E30" s="40"/>
      <c r="F30" s="47"/>
      <c r="G30" s="2"/>
    </row>
    <row r="31" spans="1:15">
      <c r="B31" s="15"/>
      <c r="C31" s="22" t="s">
        <v>423</v>
      </c>
      <c r="D31" s="46"/>
      <c r="E31" s="40"/>
      <c r="F31" s="47"/>
      <c r="G31" s="2"/>
    </row>
    <row r="32" spans="1:15">
      <c r="B32" s="15"/>
      <c r="C32" s="22" t="s">
        <v>424</v>
      </c>
      <c r="D32" s="46"/>
      <c r="E32" s="40"/>
      <c r="F32" s="47"/>
      <c r="G32" s="2"/>
    </row>
    <row r="33" spans="2:7">
      <c r="B33" s="15"/>
      <c r="C33" s="22" t="s">
        <v>425</v>
      </c>
      <c r="D33" s="45"/>
      <c r="E33" s="40"/>
      <c r="F33" s="47"/>
      <c r="G33" s="2"/>
    </row>
    <row r="34" spans="2:7">
      <c r="B34" s="15"/>
      <c r="C34" s="22" t="s">
        <v>426</v>
      </c>
      <c r="D34" s="46"/>
      <c r="E34" s="40"/>
      <c r="F34" s="47"/>
      <c r="G34" s="2"/>
    </row>
    <row r="35" spans="2:7">
      <c r="B35" s="15"/>
      <c r="C35" s="22" t="s">
        <v>427</v>
      </c>
      <c r="D35" s="46"/>
      <c r="E35" s="40"/>
      <c r="F35" s="47"/>
      <c r="G35" s="2"/>
    </row>
    <row r="36" spans="2:7">
      <c r="B36" s="15"/>
      <c r="C36" s="22" t="s">
        <v>428</v>
      </c>
      <c r="D36" s="46"/>
      <c r="E36" s="40"/>
      <c r="F36" s="47"/>
      <c r="G36" s="2"/>
    </row>
    <row r="37" spans="2:7">
      <c r="B37" s="15"/>
      <c r="C37" s="22" t="s">
        <v>429</v>
      </c>
      <c r="D37" s="46"/>
      <c r="E37" s="40"/>
      <c r="F37" s="47"/>
      <c r="G37" s="2"/>
    </row>
    <row r="38" spans="2:7">
      <c r="B38" s="15"/>
      <c r="C38" s="22" t="s">
        <v>435</v>
      </c>
      <c r="D38" s="46"/>
      <c r="E38" s="40"/>
      <c r="F38" s="47"/>
      <c r="G38" s="2"/>
    </row>
    <row r="39" spans="2:7">
      <c r="B39" s="15"/>
      <c r="C39" s="22" t="s">
        <v>436</v>
      </c>
      <c r="D39" s="46"/>
      <c r="E39" s="40"/>
      <c r="F39" s="47"/>
      <c r="G39" s="2"/>
    </row>
    <row r="40" spans="2:7">
      <c r="B40" s="15"/>
      <c r="C40" s="22" t="s">
        <v>437</v>
      </c>
      <c r="D40" s="46"/>
      <c r="E40" s="40"/>
      <c r="F40" s="47"/>
      <c r="G40" s="2"/>
    </row>
    <row r="41" spans="2:7">
      <c r="B41" s="15"/>
      <c r="C41" s="22" t="s">
        <v>438</v>
      </c>
      <c r="D41" s="46"/>
      <c r="E41" s="40"/>
      <c r="F41" s="47"/>
      <c r="G41" s="2"/>
    </row>
    <row r="42" spans="2:7">
      <c r="B42" s="15"/>
      <c r="C42" s="22" t="s">
        <v>439</v>
      </c>
      <c r="D42" s="46"/>
      <c r="E42" s="40"/>
      <c r="F42" s="47"/>
      <c r="G42" s="2"/>
    </row>
    <row r="43" spans="2:7">
      <c r="B43" s="15"/>
      <c r="C43" s="22" t="s">
        <v>440</v>
      </c>
      <c r="D43" s="46"/>
      <c r="E43" s="40"/>
      <c r="F43" s="47"/>
      <c r="G43" s="2"/>
    </row>
    <row r="44" spans="2:7">
      <c r="B44" s="15"/>
      <c r="C44" s="22" t="s">
        <v>441</v>
      </c>
      <c r="D44" s="46"/>
      <c r="E44" s="40"/>
      <c r="F44" s="47"/>
      <c r="G44" s="2"/>
    </row>
    <row r="45" spans="2:7">
      <c r="B45" s="15"/>
      <c r="C45" s="22" t="s">
        <v>442</v>
      </c>
      <c r="D45" s="46"/>
      <c r="E45" s="40"/>
      <c r="F45" s="47"/>
      <c r="G45" s="2"/>
    </row>
    <row r="46" spans="2:7">
      <c r="B46" s="15"/>
      <c r="C46" s="22" t="s">
        <v>443</v>
      </c>
      <c r="D46" s="46"/>
      <c r="E46" s="40"/>
      <c r="F46" s="47"/>
    </row>
    <row r="47" spans="2:7">
      <c r="B47" s="15"/>
      <c r="C47" s="22" t="s">
        <v>444</v>
      </c>
      <c r="D47" s="46"/>
      <c r="E47" s="40"/>
      <c r="F47" s="47"/>
    </row>
    <row r="48" spans="2:7">
      <c r="B48" s="15"/>
      <c r="C48" s="22" t="s">
        <v>445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62" priority="2">
      <formula>IF(CELL("Zeile",D29)&lt;$D$25+CELL("Zeile",$D$29),1,0)</formula>
    </cfRule>
  </conditionalFormatting>
  <conditionalFormatting sqref="D30:D48">
    <cfRule type="expression" dxfId="61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>
    <tabColor rgb="FFFFC000"/>
    <pageSetUpPr fitToPage="1"/>
  </sheetPr>
  <dimension ref="A1:AM62"/>
  <sheetViews>
    <sheetView showGridLines="0" zoomScale="80" zoomScaleNormal="80" workbookViewId="0">
      <selection activeCell="D35" sqref="D35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449</v>
      </c>
      <c r="D5" s="58" t="str">
        <f>Netzbetreiber!$D$9</f>
        <v>Stadtwerke Burgdorf Netz GmbH</v>
      </c>
      <c r="H5" s="67"/>
      <c r="I5" s="67"/>
      <c r="J5" s="67"/>
      <c r="K5" s="67"/>
    </row>
    <row r="6" spans="2:15" ht="15" customHeight="1">
      <c r="B6" s="22"/>
      <c r="C6" s="61" t="s">
        <v>448</v>
      </c>
      <c r="D6" s="58" t="str">
        <f>Netzbetreiber!D28</f>
        <v>Netz Burgdorf</v>
      </c>
      <c r="E6" s="15"/>
      <c r="H6" s="67"/>
      <c r="I6" s="67"/>
      <c r="J6" s="67"/>
      <c r="K6" s="67"/>
    </row>
    <row r="7" spans="2:15" ht="15" customHeight="1">
      <c r="B7" s="22"/>
      <c r="C7" s="60" t="s">
        <v>491</v>
      </c>
      <c r="D7" s="329" t="str">
        <f>Netzbetreiber!$D$11</f>
        <v>98701054000004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42675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259</v>
      </c>
      <c r="E11" s="15"/>
      <c r="H11" s="272" t="s">
        <v>256</v>
      </c>
      <c r="I11" s="272" t="s">
        <v>259</v>
      </c>
      <c r="J11" s="272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618</v>
      </c>
      <c r="D13" s="33" t="s">
        <v>620</v>
      </c>
      <c r="E13" s="15"/>
      <c r="H13" s="272" t="s">
        <v>619</v>
      </c>
      <c r="I13" s="272" t="s">
        <v>620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434</v>
      </c>
      <c r="D15" s="42" t="s">
        <v>337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433</v>
      </c>
      <c r="D16" s="42" t="s">
        <v>432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84</v>
      </c>
      <c r="C18" s="31" t="s">
        <v>370</v>
      </c>
      <c r="D18" s="49" t="s">
        <v>257</v>
      </c>
      <c r="E18" s="15"/>
      <c r="H18" s="270" t="s">
        <v>257</v>
      </c>
      <c r="I18" s="270" t="s">
        <v>135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578</v>
      </c>
      <c r="I19" s="271" t="s">
        <v>492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493</v>
      </c>
      <c r="I20" s="271" t="s">
        <v>494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85</v>
      </c>
      <c r="C22" s="8" t="s">
        <v>616</v>
      </c>
      <c r="D22" s="49" t="s">
        <v>612</v>
      </c>
      <c r="E22" s="15"/>
      <c r="H22" s="268" t="s">
        <v>612</v>
      </c>
      <c r="I22" s="268" t="s">
        <v>613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614</v>
      </c>
      <c r="E23" s="15"/>
      <c r="H23" s="268" t="s">
        <v>615</v>
      </c>
      <c r="I23" s="8" t="s">
        <v>611</v>
      </c>
      <c r="J23" s="8"/>
      <c r="K23" s="8"/>
      <c r="L23" s="269"/>
    </row>
    <row r="24" spans="2:16" ht="15" customHeight="1">
      <c r="B24" s="22"/>
      <c r="C24" s="24" t="s">
        <v>617</v>
      </c>
      <c r="D24" s="24" t="str">
        <f>IF(D22=$H$22,L24,IF(D23=$H$24,M24,N24))</f>
        <v>=&gt;  Q(D) = KW  x  h(T, SLP-Typ)  x  F(WT)</v>
      </c>
      <c r="E24" s="15"/>
      <c r="H24" s="268" t="s">
        <v>614</v>
      </c>
      <c r="I24" s="268" t="s">
        <v>621</v>
      </c>
      <c r="J24" s="8"/>
      <c r="K24" s="8"/>
      <c r="L24" s="271" t="s">
        <v>622</v>
      </c>
      <c r="M24" s="271" t="s">
        <v>624</v>
      </c>
      <c r="N24" s="271" t="s">
        <v>623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372</v>
      </c>
      <c r="C26" s="6" t="s">
        <v>581</v>
      </c>
      <c r="D26" s="42" t="s">
        <v>136</v>
      </c>
      <c r="E26" s="15"/>
      <c r="H26" s="270" t="s">
        <v>134</v>
      </c>
      <c r="I26" s="270" t="s">
        <v>136</v>
      </c>
      <c r="J26" s="268"/>
      <c r="K26" s="268"/>
      <c r="L26" s="269"/>
    </row>
    <row r="27" spans="2:16" ht="15" customHeight="1">
      <c r="B27" s="7"/>
      <c r="C27" s="6" t="s">
        <v>625</v>
      </c>
      <c r="D27" s="42" t="s">
        <v>626</v>
      </c>
      <c r="E27" s="15"/>
      <c r="H27" s="298" t="s">
        <v>626</v>
      </c>
      <c r="I27" s="270" t="s">
        <v>627</v>
      </c>
      <c r="J27" s="270" t="s">
        <v>628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629</v>
      </c>
      <c r="I28" s="271" t="s">
        <v>630</v>
      </c>
      <c r="J28" s="271" t="s">
        <v>631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300"/>
      <c r="E29" s="15"/>
      <c r="H29" s="271" t="s">
        <v>632</v>
      </c>
      <c r="I29" s="271" t="s">
        <v>633</v>
      </c>
      <c r="J29" s="271" t="s">
        <v>634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497</v>
      </c>
      <c r="C31" s="6" t="s">
        <v>580</v>
      </c>
      <c r="D31" s="42" t="s">
        <v>136</v>
      </c>
      <c r="E31" s="15"/>
      <c r="H31" s="270" t="s">
        <v>134</v>
      </c>
      <c r="I31" s="270" t="s">
        <v>136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635</v>
      </c>
      <c r="I32" s="271" t="s">
        <v>636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637</v>
      </c>
      <c r="I33" s="268" t="s">
        <v>632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552</v>
      </c>
      <c r="C35" s="24" t="s">
        <v>499</v>
      </c>
      <c r="D35" s="42">
        <v>15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553</v>
      </c>
      <c r="C37" s="5" t="s">
        <v>367</v>
      </c>
      <c r="D37" s="34">
        <v>1500000</v>
      </c>
      <c r="E37" s="15" t="s">
        <v>510</v>
      </c>
      <c r="I37" s="268"/>
      <c r="J37" s="268"/>
      <c r="K37" s="268"/>
      <c r="L37" s="268"/>
      <c r="M37" s="269"/>
    </row>
    <row r="38" spans="2:39" customFormat="1" ht="15" customHeight="1">
      <c r="C38" s="8" t="s">
        <v>495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554</v>
      </c>
      <c r="C40" s="5" t="s">
        <v>368</v>
      </c>
      <c r="D40" s="36">
        <v>500</v>
      </c>
      <c r="E40" s="15" t="s">
        <v>544</v>
      </c>
      <c r="H40" s="67"/>
      <c r="I40" s="67"/>
      <c r="J40" s="67"/>
      <c r="K40" s="67"/>
    </row>
    <row r="41" spans="2:39" ht="15" customHeight="1">
      <c r="C41" s="8" t="s">
        <v>496</v>
      </c>
    </row>
    <row r="42" spans="2:39" ht="15" customHeight="1">
      <c r="B42" s="7"/>
      <c r="C42" s="3"/>
    </row>
    <row r="43" spans="2:39" ht="15" customHeight="1">
      <c r="B43" s="7"/>
      <c r="C43" s="3" t="s">
        <v>543</v>
      </c>
    </row>
    <row r="44" spans="2:39" ht="18" customHeight="1">
      <c r="C44" s="3" t="s">
        <v>545</v>
      </c>
    </row>
    <row r="45" spans="2:39" ht="18" customHeight="1">
      <c r="C45" s="3"/>
    </row>
    <row r="46" spans="2:39" ht="15" customHeight="1">
      <c r="B46" s="22" t="s">
        <v>555</v>
      </c>
      <c r="C46" s="60" t="s">
        <v>579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589</v>
      </c>
      <c r="D48" s="45" t="s">
        <v>139</v>
      </c>
    </row>
    <row r="49" spans="3:4" ht="18" customHeight="1">
      <c r="C49" s="22" t="s">
        <v>590</v>
      </c>
      <c r="D49" s="45"/>
    </row>
    <row r="50" spans="3:4" ht="18" customHeight="1">
      <c r="C50" s="22" t="s">
        <v>591</v>
      </c>
      <c r="D50" s="45"/>
    </row>
    <row r="51" spans="3:4" ht="18" customHeight="1">
      <c r="C51" s="22" t="s">
        <v>592</v>
      </c>
      <c r="D51" s="45"/>
    </row>
    <row r="52" spans="3:4" ht="18" customHeight="1">
      <c r="C52" s="22" t="s">
        <v>593</v>
      </c>
      <c r="D52" s="45"/>
    </row>
    <row r="53" spans="3:4" ht="18" customHeight="1">
      <c r="C53" s="22" t="s">
        <v>594</v>
      </c>
      <c r="D53" s="45"/>
    </row>
    <row r="54" spans="3:4" ht="18" customHeight="1">
      <c r="C54" s="22" t="s">
        <v>595</v>
      </c>
      <c r="D54" s="45"/>
    </row>
    <row r="55" spans="3:4" ht="18" customHeight="1">
      <c r="C55" s="22" t="s">
        <v>596</v>
      </c>
      <c r="D55" s="45"/>
    </row>
    <row r="56" spans="3:4" ht="18" customHeight="1">
      <c r="C56" s="22" t="s">
        <v>597</v>
      </c>
      <c r="D56" s="45"/>
    </row>
    <row r="57" spans="3:4" ht="18" customHeight="1">
      <c r="C57" s="22" t="s">
        <v>598</v>
      </c>
      <c r="D57" s="45"/>
    </row>
    <row r="58" spans="3:4" ht="18" customHeight="1">
      <c r="C58" s="22" t="s">
        <v>599</v>
      </c>
      <c r="D58" s="45"/>
    </row>
    <row r="59" spans="3:4" ht="18" customHeight="1">
      <c r="C59" s="22" t="s">
        <v>600</v>
      </c>
      <c r="D59" s="45"/>
    </row>
    <row r="60" spans="3:4" ht="18" customHeight="1">
      <c r="C60" s="22" t="s">
        <v>601</v>
      </c>
      <c r="D60" s="45"/>
    </row>
    <row r="61" spans="3:4" ht="18" customHeight="1">
      <c r="C61" s="22" t="s">
        <v>602</v>
      </c>
      <c r="D61" s="45"/>
    </row>
    <row r="62" spans="3:4" ht="18" customHeight="1">
      <c r="C62" s="22" t="s">
        <v>603</v>
      </c>
      <c r="D62" s="45"/>
    </row>
  </sheetData>
  <sheetProtection sheet="1" objects="1" scenarios="1"/>
  <conditionalFormatting sqref="D15">
    <cfRule type="expression" dxfId="60" priority="21">
      <formula>IF($D$11="Gaspool",1,0)</formula>
    </cfRule>
  </conditionalFormatting>
  <conditionalFormatting sqref="D16">
    <cfRule type="expression" dxfId="59" priority="18">
      <formula>IF($D$11="NCG",1,0)</formula>
    </cfRule>
  </conditionalFormatting>
  <conditionalFormatting sqref="D48:D62">
    <cfRule type="expression" dxfId="58" priority="17">
      <formula>IF(CELL("Zeile",D48)&lt;$D$46+CELL("Zeile",$D$48),1,0)</formula>
    </cfRule>
  </conditionalFormatting>
  <conditionalFormatting sqref="D49:D62">
    <cfRule type="expression" dxfId="57" priority="16">
      <formula>IF(CELL(D49)&lt;$D$36+27,1,0)</formula>
    </cfRule>
  </conditionalFormatting>
  <conditionalFormatting sqref="D23">
    <cfRule type="expression" dxfId="56" priority="15">
      <formula>IF($D$22=$H$22,1,0)</formula>
    </cfRule>
  </conditionalFormatting>
  <conditionalFormatting sqref="D31">
    <cfRule type="expression" dxfId="55" priority="4">
      <formula>IF($D$18="synthetisch",1,0)</formula>
    </cfRule>
  </conditionalFormatting>
  <conditionalFormatting sqref="D28">
    <cfRule type="expression" dxfId="54" priority="2">
      <formula>IF(AND($D$27=$I$27,$D$26=$H$26),1,0)</formula>
    </cfRule>
  </conditionalFormatting>
  <conditionalFormatting sqref="D26:D28">
    <cfRule type="expression" dxfId="53" priority="5">
      <formula>IF($D$18="analytisch",1,0)</formula>
    </cfRule>
  </conditionalFormatting>
  <conditionalFormatting sqref="D27">
    <cfRule type="expression" dxfId="52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>
    <tabColor rgb="FFFF0000"/>
    <pageSetUpPr fitToPage="1"/>
  </sheetPr>
  <dimension ref="A1:XFC78"/>
  <sheetViews>
    <sheetView showGridLines="0" zoomScaleNormal="100" workbookViewId="0">
      <selection activeCell="G72" sqref="G72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547</v>
      </c>
    </row>
    <row r="3" spans="2:56" ht="15" customHeight="1">
      <c r="B3" s="171"/>
    </row>
    <row r="4" spans="2:56">
      <c r="B4" s="130"/>
      <c r="C4" s="56" t="s">
        <v>449</v>
      </c>
      <c r="D4" s="57"/>
      <c r="E4" s="331" t="str">
        <f>Netzbetreiber!D9</f>
        <v>Stadtwerke Burgdorf Netz GmbH</v>
      </c>
      <c r="F4" s="331"/>
      <c r="G4" s="331"/>
      <c r="M4" s="130"/>
      <c r="N4" s="130"/>
      <c r="O4" s="130"/>
    </row>
    <row r="5" spans="2:56">
      <c r="B5" s="130"/>
      <c r="C5" s="56" t="s">
        <v>448</v>
      </c>
      <c r="D5" s="57"/>
      <c r="E5" s="58" t="str">
        <f>Netzbetreiber!D28</f>
        <v>Netz Burgdorf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491</v>
      </c>
      <c r="D6" s="57"/>
      <c r="E6" s="330" t="str">
        <f>Netzbetreiber!D11</f>
        <v>98701054000004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42675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501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526</v>
      </c>
      <c r="D9" s="130"/>
      <c r="E9" s="130"/>
      <c r="F9" s="154">
        <f>'SLP-Verfahren'!D46</f>
        <v>1</v>
      </c>
      <c r="H9" s="172" t="s">
        <v>604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588</v>
      </c>
      <c r="D10" s="130"/>
      <c r="E10" s="130"/>
      <c r="F10" s="49">
        <v>1</v>
      </c>
      <c r="G10" s="57"/>
      <c r="H10" s="172" t="s">
        <v>605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606</v>
      </c>
      <c r="D11" s="130"/>
      <c r="E11" s="130"/>
      <c r="F11" s="333" t="str">
        <f>INDEX('SLP-Verfahren'!D48:D62,'SLP-Temp-Gebiet #01'!F10)</f>
        <v>DWD</v>
      </c>
      <c r="G11" s="333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0" t="s">
        <v>587</v>
      </c>
      <c r="D13" s="340"/>
      <c r="E13" s="340"/>
      <c r="F13" s="182" t="s">
        <v>551</v>
      </c>
      <c r="G13" s="130" t="s">
        <v>549</v>
      </c>
      <c r="H13" s="262" t="s">
        <v>566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1" t="s">
        <v>452</v>
      </c>
      <c r="D14" s="341"/>
      <c r="E14" s="89" t="s">
        <v>453</v>
      </c>
      <c r="F14" s="263" t="s">
        <v>85</v>
      </c>
      <c r="G14" s="264" t="s">
        <v>575</v>
      </c>
      <c r="H14" s="51">
        <v>0</v>
      </c>
      <c r="I14" s="57"/>
      <c r="J14" s="130"/>
      <c r="K14" s="130"/>
      <c r="L14" s="130"/>
      <c r="M14" s="130"/>
      <c r="N14" s="130"/>
      <c r="O14" s="332" t="s">
        <v>654</v>
      </c>
      <c r="R14" s="208" t="s">
        <v>567</v>
      </c>
      <c r="S14" s="208" t="s">
        <v>568</v>
      </c>
      <c r="T14" s="208" t="s">
        <v>569</v>
      </c>
      <c r="U14" s="208" t="s">
        <v>570</v>
      </c>
      <c r="V14" s="208" t="s">
        <v>550</v>
      </c>
      <c r="W14" s="208" t="s">
        <v>571</v>
      </c>
      <c r="X14" s="208" t="s">
        <v>572</v>
      </c>
      <c r="Y14" s="208" t="s">
        <v>573</v>
      </c>
      <c r="Z14" s="208" t="s">
        <v>574</v>
      </c>
      <c r="AA14" s="208" t="s">
        <v>575</v>
      </c>
      <c r="AB14" s="208" t="s">
        <v>576</v>
      </c>
      <c r="AC14" s="208" t="s">
        <v>577</v>
      </c>
    </row>
    <row r="15" spans="2:56" ht="19.5" customHeight="1">
      <c r="B15" s="130"/>
      <c r="C15" s="341" t="s">
        <v>389</v>
      </c>
      <c r="D15" s="341"/>
      <c r="E15" s="89" t="s">
        <v>453</v>
      </c>
      <c r="F15" s="263" t="s">
        <v>71</v>
      </c>
      <c r="G15" s="264" t="s">
        <v>569</v>
      </c>
      <c r="H15" s="51">
        <v>0</v>
      </c>
      <c r="I15" s="57"/>
      <c r="J15" s="130"/>
      <c r="K15" s="130"/>
      <c r="L15" s="130"/>
      <c r="M15" s="130"/>
      <c r="N15" s="130"/>
      <c r="O15" s="161" t="s">
        <v>139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372</v>
      </c>
      <c r="AH15" s="261" t="s">
        <v>497</v>
      </c>
      <c r="AI15" s="261" t="s">
        <v>552</v>
      </c>
      <c r="AJ15" s="261" t="s">
        <v>553</v>
      </c>
      <c r="AK15" s="261" t="s">
        <v>554</v>
      </c>
      <c r="AL15" s="261" t="s">
        <v>555</v>
      </c>
      <c r="AM15" s="261" t="s">
        <v>556</v>
      </c>
      <c r="AN15" s="261" t="s">
        <v>557</v>
      </c>
      <c r="AO15" s="261" t="s">
        <v>558</v>
      </c>
      <c r="AP15" s="261" t="s">
        <v>559</v>
      </c>
      <c r="AQ15" s="261" t="s">
        <v>560</v>
      </c>
      <c r="AR15" s="261" t="s">
        <v>561</v>
      </c>
      <c r="AS15" s="261" t="s">
        <v>562</v>
      </c>
      <c r="AT15" s="261" t="s">
        <v>563</v>
      </c>
      <c r="AU15" s="261" t="s">
        <v>564</v>
      </c>
      <c r="AV15" s="261" t="s">
        <v>565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521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527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522</v>
      </c>
      <c r="D20" s="179" t="s">
        <v>517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529</v>
      </c>
      <c r="D21" s="153" t="s">
        <v>519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540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506</v>
      </c>
      <c r="T23" s="289" t="str">
        <f>O15</f>
        <v>DWD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524</v>
      </c>
      <c r="D24" s="187"/>
      <c r="E24" s="156" t="s">
        <v>584</v>
      </c>
      <c r="F24" s="156" t="s">
        <v>585</v>
      </c>
      <c r="G24" s="156"/>
      <c r="H24" s="156"/>
      <c r="I24" s="156"/>
      <c r="J24" s="156"/>
      <c r="K24" s="156"/>
      <c r="L24" s="156"/>
      <c r="M24" s="156"/>
      <c r="N24" s="156"/>
      <c r="O24" s="184" t="s">
        <v>525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518</v>
      </c>
      <c r="D25" s="187"/>
      <c r="E25" s="160" t="s">
        <v>365</v>
      </c>
      <c r="F25" s="160" t="s">
        <v>365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507</v>
      </c>
      <c r="F26" s="156" t="s">
        <v>507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507</v>
      </c>
      <c r="S26" s="67" t="s">
        <v>508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523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530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536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363</v>
      </c>
      <c r="D33" s="153" t="s">
        <v>362</v>
      </c>
      <c r="E33" s="156" t="s">
        <v>3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2"/>
      <c r="C34" s="186" t="s">
        <v>455</v>
      </c>
      <c r="D34" s="153" t="s">
        <v>454</v>
      </c>
      <c r="E34" s="156" t="s">
        <v>515</v>
      </c>
      <c r="F34" s="156" t="s">
        <v>515</v>
      </c>
      <c r="G34" s="156" t="s">
        <v>515</v>
      </c>
      <c r="H34" s="156" t="s">
        <v>515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515</v>
      </c>
      <c r="S34" s="67" t="s">
        <v>516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608</v>
      </c>
      <c r="D35" s="153" t="s">
        <v>609</v>
      </c>
      <c r="E35" s="156" t="s">
        <v>607</v>
      </c>
      <c r="F35" s="156" t="s">
        <v>607</v>
      </c>
      <c r="G35" s="156" t="s">
        <v>607</v>
      </c>
      <c r="H35" s="156" t="s">
        <v>607</v>
      </c>
      <c r="I35" s="156" t="s">
        <v>607</v>
      </c>
      <c r="J35" s="156" t="s">
        <v>607</v>
      </c>
      <c r="K35" s="156" t="s">
        <v>607</v>
      </c>
      <c r="L35" s="156" t="s">
        <v>607</v>
      </c>
      <c r="M35" s="156" t="s">
        <v>607</v>
      </c>
      <c r="N35" s="156" t="s">
        <v>607</v>
      </c>
      <c r="O35" s="184" t="s">
        <v>142</v>
      </c>
      <c r="Q35" s="210"/>
      <c r="R35" s="67" t="s">
        <v>607</v>
      </c>
      <c r="S35" s="67" t="s">
        <v>610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447</v>
      </c>
      <c r="D36" s="119" t="s">
        <v>541</v>
      </c>
      <c r="E36" s="162" t="s">
        <v>456</v>
      </c>
      <c r="F36" s="162" t="s">
        <v>456</v>
      </c>
      <c r="G36" s="162" t="s">
        <v>457</v>
      </c>
      <c r="H36" s="162" t="s">
        <v>457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457</v>
      </c>
      <c r="S36" s="67" t="s">
        <v>456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351</v>
      </c>
      <c r="D39" s="197"/>
      <c r="E39" s="197" t="s">
        <v>534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535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528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532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533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538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539</v>
      </c>
      <c r="D46" s="200" t="s">
        <v>537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364</v>
      </c>
      <c r="K46" s="197"/>
      <c r="L46" s="197"/>
      <c r="M46" s="197"/>
      <c r="N46" s="197"/>
      <c r="O46" s="198"/>
    </row>
    <row r="47" spans="2:28">
      <c r="B47" s="192"/>
      <c r="C47" s="199" t="s">
        <v>350</v>
      </c>
      <c r="D47" s="200" t="s">
        <v>537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364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582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546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522</v>
      </c>
      <c r="D54" s="179" t="s">
        <v>517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529</v>
      </c>
      <c r="D55" s="153" t="s">
        <v>519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540</v>
      </c>
      <c r="D56" s="185">
        <f>SUMPRODUCT(E56:N56,E53:N53)</f>
        <v>1</v>
      </c>
      <c r="E56" s="281">
        <f>E22</f>
        <v>1</v>
      </c>
      <c r="F56" s="281">
        <f t="shared" ref="F56:N56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DWD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524</v>
      </c>
      <c r="D58" s="187"/>
      <c r="E58" s="156" t="str">
        <f>E24</f>
        <v>ABC-St.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525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518</v>
      </c>
      <c r="D59" s="187"/>
      <c r="E59" s="160" t="str">
        <f>E25</f>
        <v>xxxxx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523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11">IF(F64&gt;$F$62,0,1)</f>
        <v>1</v>
      </c>
      <c r="G63" s="177">
        <f t="shared" si="11"/>
        <v>1</v>
      </c>
      <c r="H63" s="177">
        <f t="shared" si="11"/>
        <v>1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530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12">ROUND(G66/$D$66,4)</f>
        <v>0.1333</v>
      </c>
      <c r="H65" s="280">
        <f t="shared" si="12"/>
        <v>6.6699999999999995E-2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>
      <c r="B66" s="182"/>
      <c r="C66" s="183" t="s">
        <v>536</v>
      </c>
      <c r="D66" s="185">
        <f>SUMPRODUCT(E66:N66,E63:N63)</f>
        <v>1.875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145</v>
      </c>
    </row>
    <row r="67" spans="2:15">
      <c r="B67" s="182"/>
      <c r="C67" s="186" t="s">
        <v>363</v>
      </c>
      <c r="D67" s="153" t="s">
        <v>362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142</v>
      </c>
    </row>
    <row r="68" spans="2:15">
      <c r="B68" s="182"/>
      <c r="C68" s="186" t="s">
        <v>455</v>
      </c>
      <c r="D68" s="153" t="s">
        <v>454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142</v>
      </c>
    </row>
    <row r="69" spans="2:15">
      <c r="B69" s="182"/>
      <c r="C69" s="186" t="s">
        <v>608</v>
      </c>
      <c r="D69" s="153" t="s">
        <v>609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142</v>
      </c>
    </row>
    <row r="70" spans="2:15">
      <c r="B70" s="182"/>
      <c r="C70" s="191" t="s">
        <v>447</v>
      </c>
      <c r="D70" s="119" t="s">
        <v>541</v>
      </c>
      <c r="E70" s="163" t="s">
        <v>457</v>
      </c>
      <c r="F70" s="163" t="s">
        <v>457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142</v>
      </c>
    </row>
    <row r="71" spans="2:15"/>
    <row r="72" spans="2:15" ht="15.75" customHeight="1">
      <c r="C72" s="342" t="s">
        <v>583</v>
      </c>
      <c r="D72" s="342"/>
      <c r="E72" s="342"/>
      <c r="F72" s="342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51" priority="28">
      <formula>IF(E$20&lt;=$F$18,1,0)</formula>
    </cfRule>
  </conditionalFormatting>
  <conditionalFormatting sqref="E32:N36">
    <cfRule type="expression" dxfId="50" priority="27">
      <formula>IF(E$30&lt;=$F$28,1,0)</formula>
    </cfRule>
  </conditionalFormatting>
  <conditionalFormatting sqref="E26:F26">
    <cfRule type="expression" dxfId="49" priority="26">
      <formula>IF(E$20&lt;=$F$18,1,0)</formula>
    </cfRule>
  </conditionalFormatting>
  <conditionalFormatting sqref="E26:N26">
    <cfRule type="expression" dxfId="48" priority="25">
      <formula>IF(E$20&lt;=$F$18,1,0)</formula>
    </cfRule>
  </conditionalFormatting>
  <conditionalFormatting sqref="E56:N59">
    <cfRule type="expression" dxfId="47" priority="22">
      <formula>IF(E$54&lt;=$F$52,1,0)</formula>
    </cfRule>
  </conditionalFormatting>
  <conditionalFormatting sqref="E60:N60">
    <cfRule type="expression" dxfId="46" priority="21">
      <formula>IF(E$54&lt;=$F$52,1,0)</formula>
    </cfRule>
  </conditionalFormatting>
  <conditionalFormatting sqref="E66:N68">
    <cfRule type="expression" dxfId="45" priority="15">
      <formula>IF(E$64&lt;=$F$62,1,0)</formula>
    </cfRule>
  </conditionalFormatting>
  <conditionalFormatting sqref="E65:N68 E70:N70">
    <cfRule type="expression" dxfId="44" priority="13">
      <formula>IF(E$64&gt;$F$62,1,0)</formula>
    </cfRule>
  </conditionalFormatting>
  <conditionalFormatting sqref="E56:N60">
    <cfRule type="expression" dxfId="43" priority="12">
      <formula>IF(E$54&gt;$F$52,1,0)</formula>
    </cfRule>
  </conditionalFormatting>
  <conditionalFormatting sqref="E21:N26">
    <cfRule type="expression" dxfId="42" priority="11">
      <formula>IF(E$20&gt;$F$18,1,0)</formula>
    </cfRule>
  </conditionalFormatting>
  <conditionalFormatting sqref="E32:N36">
    <cfRule type="expression" dxfId="41" priority="10">
      <formula>IF(E$30&gt;$F$28,1,0)</formula>
    </cfRule>
  </conditionalFormatting>
  <conditionalFormatting sqref="H11 H8:H9">
    <cfRule type="expression" dxfId="40" priority="9">
      <formula>IF($F$9=1,1,0)</formula>
    </cfRule>
  </conditionalFormatting>
  <conditionalFormatting sqref="E55:N55">
    <cfRule type="expression" dxfId="39" priority="8">
      <formula>IF(E$54&gt;$F$52,1,0)</formula>
    </cfRule>
  </conditionalFormatting>
  <conditionalFormatting sqref="E31:N31">
    <cfRule type="expression" dxfId="38" priority="7">
      <formula>IF(E$30&gt;$F$28,1,0)</formula>
    </cfRule>
  </conditionalFormatting>
  <conditionalFormatting sqref="E70:N70">
    <cfRule type="expression" dxfId="37" priority="6">
      <formula>IF(E$64&lt;=$F$62,1,0)</formula>
    </cfRule>
  </conditionalFormatting>
  <conditionalFormatting sqref="H10">
    <cfRule type="expression" dxfId="36" priority="5">
      <formula>IF($F$9=1,1,0)</formula>
    </cfRule>
  </conditionalFormatting>
  <conditionalFormatting sqref="E69:N69">
    <cfRule type="expression" dxfId="35" priority="2">
      <formula>IF(E$64&lt;=$F$62,1,0)</formula>
    </cfRule>
  </conditionalFormatting>
  <conditionalFormatting sqref="E69:N69">
    <cfRule type="expression" dxfId="34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5:N26 E56:N60 E22:F22 I22:N22 F52 F62 G24:N24 G70:N70 E32:N34 E69:N69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547</v>
      </c>
    </row>
    <row r="3" spans="2:56" ht="15" customHeight="1">
      <c r="B3" s="171"/>
    </row>
    <row r="4" spans="2:56">
      <c r="B4" s="130"/>
      <c r="C4" s="56" t="s">
        <v>449</v>
      </c>
      <c r="D4" s="57"/>
      <c r="E4" s="331" t="str">
        <f>Netzbetreiber!$D$9</f>
        <v>Stadtwerke Burgdorf Netz GmbH</v>
      </c>
      <c r="F4" s="130"/>
      <c r="M4" s="130"/>
      <c r="N4" s="130"/>
      <c r="O4" s="130"/>
    </row>
    <row r="5" spans="2:56">
      <c r="B5" s="130"/>
      <c r="C5" s="56" t="s">
        <v>448</v>
      </c>
      <c r="D5" s="57"/>
      <c r="E5" s="58" t="str">
        <f>Netzbetreiber!$D$28</f>
        <v>Netz Burgdorf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491</v>
      </c>
      <c r="D6" s="57"/>
      <c r="E6" s="330" t="str">
        <f>Netzbetreiber!$D$11</f>
        <v>98701054000004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Netzbetreiber!$D$6</f>
        <v>42675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501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526</v>
      </c>
      <c r="D9" s="130"/>
      <c r="E9" s="130"/>
      <c r="F9" s="154">
        <f>'SLP-Verfahren'!D46</f>
        <v>1</v>
      </c>
      <c r="H9" s="172" t="s">
        <v>604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588</v>
      </c>
      <c r="D10" s="130"/>
      <c r="E10" s="130"/>
      <c r="F10" s="49">
        <v>2</v>
      </c>
      <c r="G10" s="57"/>
      <c r="H10" s="172" t="s">
        <v>605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606</v>
      </c>
      <c r="D11" s="130"/>
      <c r="E11" s="130"/>
      <c r="F11" s="333">
        <f>INDEX('SLP-Verfahren'!D48:D62,'SLP-Temp-Gebiet #02'!F10)</f>
        <v>0</v>
      </c>
      <c r="G11" s="333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0" t="s">
        <v>587</v>
      </c>
      <c r="D13" s="340"/>
      <c r="E13" s="340"/>
      <c r="F13" s="182" t="s">
        <v>551</v>
      </c>
      <c r="G13" s="130" t="s">
        <v>549</v>
      </c>
      <c r="H13" s="262" t="s">
        <v>566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1" t="s">
        <v>452</v>
      </c>
      <c r="D14" s="341"/>
      <c r="E14" s="89" t="s">
        <v>453</v>
      </c>
      <c r="F14" s="263" t="s">
        <v>85</v>
      </c>
      <c r="G14" s="264" t="s">
        <v>575</v>
      </c>
      <c r="H14" s="51">
        <v>0</v>
      </c>
      <c r="I14" s="57"/>
      <c r="J14" s="130"/>
      <c r="K14" s="130"/>
      <c r="L14" s="130"/>
      <c r="M14" s="130"/>
      <c r="N14" s="130"/>
      <c r="O14" s="332" t="s">
        <v>654</v>
      </c>
      <c r="R14" s="208" t="s">
        <v>567</v>
      </c>
      <c r="S14" s="208" t="s">
        <v>568</v>
      </c>
      <c r="T14" s="208" t="s">
        <v>569</v>
      </c>
      <c r="U14" s="208" t="s">
        <v>570</v>
      </c>
      <c r="V14" s="208" t="s">
        <v>550</v>
      </c>
      <c r="W14" s="208" t="s">
        <v>571</v>
      </c>
      <c r="X14" s="208" t="s">
        <v>572</v>
      </c>
      <c r="Y14" s="208" t="s">
        <v>573</v>
      </c>
      <c r="Z14" s="208" t="s">
        <v>574</v>
      </c>
      <c r="AA14" s="208" t="s">
        <v>575</v>
      </c>
      <c r="AB14" s="208" t="s">
        <v>576</v>
      </c>
      <c r="AC14" s="208" t="s">
        <v>577</v>
      </c>
    </row>
    <row r="15" spans="2:56" ht="19.5" customHeight="1">
      <c r="B15" s="130"/>
      <c r="C15" s="341" t="s">
        <v>389</v>
      </c>
      <c r="D15" s="341"/>
      <c r="E15" s="89" t="s">
        <v>453</v>
      </c>
      <c r="F15" s="263" t="s">
        <v>71</v>
      </c>
      <c r="G15" s="264" t="s">
        <v>569</v>
      </c>
      <c r="H15" s="51">
        <v>0</v>
      </c>
      <c r="I15" s="57"/>
      <c r="J15" s="130"/>
      <c r="K15" s="130"/>
      <c r="L15" s="130"/>
      <c r="M15" s="130"/>
      <c r="N15" s="130"/>
      <c r="O15" s="161" t="s">
        <v>531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372</v>
      </c>
      <c r="AH15" s="261" t="s">
        <v>497</v>
      </c>
      <c r="AI15" s="261" t="s">
        <v>552</v>
      </c>
      <c r="AJ15" s="261" t="s">
        <v>553</v>
      </c>
      <c r="AK15" s="261" t="s">
        <v>554</v>
      </c>
      <c r="AL15" s="261" t="s">
        <v>555</v>
      </c>
      <c r="AM15" s="261" t="s">
        <v>556</v>
      </c>
      <c r="AN15" s="261" t="s">
        <v>557</v>
      </c>
      <c r="AO15" s="261" t="s">
        <v>558</v>
      </c>
      <c r="AP15" s="261" t="s">
        <v>559</v>
      </c>
      <c r="AQ15" s="261" t="s">
        <v>560</v>
      </c>
      <c r="AR15" s="261" t="s">
        <v>561</v>
      </c>
      <c r="AS15" s="261" t="s">
        <v>562</v>
      </c>
      <c r="AT15" s="261" t="s">
        <v>563</v>
      </c>
      <c r="AU15" s="261" t="s">
        <v>564</v>
      </c>
      <c r="AV15" s="261" t="s">
        <v>565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521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527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522</v>
      </c>
      <c r="D20" s="179" t="s">
        <v>517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529</v>
      </c>
      <c r="D21" s="153" t="s">
        <v>519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540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506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524</v>
      </c>
      <c r="D24" s="187"/>
      <c r="E24" s="156" t="s">
        <v>584</v>
      </c>
      <c r="F24" s="156" t="s">
        <v>585</v>
      </c>
      <c r="G24" s="156"/>
      <c r="H24" s="156"/>
      <c r="I24" s="156"/>
      <c r="J24" s="156"/>
      <c r="K24" s="156"/>
      <c r="L24" s="156"/>
      <c r="M24" s="156"/>
      <c r="N24" s="156"/>
      <c r="O24" s="184" t="s">
        <v>525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518</v>
      </c>
      <c r="D25" s="187"/>
      <c r="E25" s="160" t="s">
        <v>365</v>
      </c>
      <c r="F25" s="160" t="s">
        <v>365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507</v>
      </c>
      <c r="F26" s="156" t="s">
        <v>507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507</v>
      </c>
      <c r="S26" s="67" t="s">
        <v>508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523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530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536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363</v>
      </c>
      <c r="D33" s="153" t="s">
        <v>362</v>
      </c>
      <c r="E33" s="156" t="s">
        <v>3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2"/>
      <c r="C34" s="186" t="s">
        <v>455</v>
      </c>
      <c r="D34" s="153" t="s">
        <v>454</v>
      </c>
      <c r="E34" s="156" t="s">
        <v>515</v>
      </c>
      <c r="F34" s="156" t="s">
        <v>515</v>
      </c>
      <c r="G34" s="156" t="s">
        <v>515</v>
      </c>
      <c r="H34" s="156" t="s">
        <v>515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515</v>
      </c>
      <c r="S34" s="67" t="s">
        <v>516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608</v>
      </c>
      <c r="D35" s="153" t="s">
        <v>609</v>
      </c>
      <c r="E35" s="156" t="s">
        <v>607</v>
      </c>
      <c r="F35" s="156" t="s">
        <v>607</v>
      </c>
      <c r="G35" s="156" t="s">
        <v>607</v>
      </c>
      <c r="H35" s="156" t="s">
        <v>607</v>
      </c>
      <c r="I35" s="156" t="s">
        <v>607</v>
      </c>
      <c r="J35" s="156" t="s">
        <v>607</v>
      </c>
      <c r="K35" s="156" t="s">
        <v>607</v>
      </c>
      <c r="L35" s="156" t="s">
        <v>607</v>
      </c>
      <c r="M35" s="156" t="s">
        <v>607</v>
      </c>
      <c r="N35" s="156" t="s">
        <v>607</v>
      </c>
      <c r="O35" s="184" t="s">
        <v>142</v>
      </c>
      <c r="Q35" s="210"/>
      <c r="R35" s="67" t="s">
        <v>607</v>
      </c>
      <c r="S35" s="67" t="s">
        <v>610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447</v>
      </c>
      <c r="D36" s="119" t="s">
        <v>541</v>
      </c>
      <c r="E36" s="162" t="s">
        <v>456</v>
      </c>
      <c r="F36" s="162" t="s">
        <v>456</v>
      </c>
      <c r="G36" s="162" t="s">
        <v>457</v>
      </c>
      <c r="H36" s="162" t="s">
        <v>457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457</v>
      </c>
      <c r="S36" s="67" t="s">
        <v>456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351</v>
      </c>
      <c r="D39" s="197"/>
      <c r="E39" s="197" t="s">
        <v>534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535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528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532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533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538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539</v>
      </c>
      <c r="D46" s="200" t="s">
        <v>537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364</v>
      </c>
      <c r="K46" s="197"/>
      <c r="L46" s="197"/>
      <c r="M46" s="197"/>
      <c r="N46" s="197"/>
      <c r="O46" s="198"/>
    </row>
    <row r="47" spans="2:28">
      <c r="B47" s="192"/>
      <c r="C47" s="199" t="s">
        <v>350</v>
      </c>
      <c r="D47" s="200" t="s">
        <v>537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364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582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546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522</v>
      </c>
      <c r="D54" s="179" t="s">
        <v>517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529</v>
      </c>
      <c r="D55" s="153" t="s">
        <v>519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540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524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525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518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523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530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536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>
      <c r="B67" s="182"/>
      <c r="C67" s="186" t="s">
        <v>363</v>
      </c>
      <c r="D67" s="153" t="s">
        <v>362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>
      <c r="B68" s="182"/>
      <c r="C68" s="186" t="s">
        <v>455</v>
      </c>
      <c r="D68" s="153" t="s">
        <v>454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>
      <c r="B69" s="182"/>
      <c r="C69" s="186" t="s">
        <v>608</v>
      </c>
      <c r="D69" s="153" t="s">
        <v>609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>
      <c r="B70" s="182"/>
      <c r="C70" s="191" t="s">
        <v>447</v>
      </c>
      <c r="D70" s="119" t="s">
        <v>541</v>
      </c>
      <c r="E70" s="163" t="s">
        <v>457</v>
      </c>
      <c r="F70" s="163" t="s">
        <v>457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/>
    <row r="72" spans="2:15" ht="15.75" customHeight="1">
      <c r="C72" s="342" t="s">
        <v>583</v>
      </c>
      <c r="D72" s="342"/>
      <c r="E72" s="342"/>
      <c r="F72" s="342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3" priority="18">
      <formula>IF(E$20&lt;=$F$18,1,0)</formula>
    </cfRule>
  </conditionalFormatting>
  <conditionalFormatting sqref="E32:N36">
    <cfRule type="expression" dxfId="32" priority="17">
      <formula>IF(E$30&lt;=$F$28,1,0)</formula>
    </cfRule>
  </conditionalFormatting>
  <conditionalFormatting sqref="E26:F26">
    <cfRule type="expression" dxfId="31" priority="16">
      <formula>IF(E$20&lt;=$F$18,1,0)</formula>
    </cfRule>
  </conditionalFormatting>
  <conditionalFormatting sqref="E26:N26">
    <cfRule type="expression" dxfId="30" priority="15">
      <formula>IF(E$20&lt;=$F$18,1,0)</formula>
    </cfRule>
  </conditionalFormatting>
  <conditionalFormatting sqref="E56:N59">
    <cfRule type="expression" dxfId="29" priority="14">
      <formula>IF(E$54&lt;=$F$52,1,0)</formula>
    </cfRule>
  </conditionalFormatting>
  <conditionalFormatting sqref="E60:N60">
    <cfRule type="expression" dxfId="28" priority="13">
      <formula>IF(E$54&lt;=$F$52,1,0)</formula>
    </cfRule>
  </conditionalFormatting>
  <conditionalFormatting sqref="E66:N68">
    <cfRule type="expression" dxfId="27" priority="12">
      <formula>IF(E$64&lt;=$F$62,1,0)</formula>
    </cfRule>
  </conditionalFormatting>
  <conditionalFormatting sqref="E65:N68 E70:N70">
    <cfRule type="expression" dxfId="26" priority="11">
      <formula>IF(E$64&gt;$F$62,1,0)</formula>
    </cfRule>
  </conditionalFormatting>
  <conditionalFormatting sqref="E56:N60">
    <cfRule type="expression" dxfId="25" priority="10">
      <formula>IF(E$54&gt;$F$52,1,0)</formula>
    </cfRule>
  </conditionalFormatting>
  <conditionalFormatting sqref="E21:N26">
    <cfRule type="expression" dxfId="24" priority="9">
      <formula>IF(E$20&gt;$F$18,1,0)</formula>
    </cfRule>
  </conditionalFormatting>
  <conditionalFormatting sqref="E32:N36">
    <cfRule type="expression" dxfId="23" priority="8">
      <formula>IF(E$30&gt;$F$28,1,0)</formula>
    </cfRule>
  </conditionalFormatting>
  <conditionalFormatting sqref="H11 H8:H9">
    <cfRule type="expression" dxfId="22" priority="7">
      <formula>IF($F$9=1,1,0)</formula>
    </cfRule>
  </conditionalFormatting>
  <conditionalFormatting sqref="E55:N55">
    <cfRule type="expression" dxfId="21" priority="6">
      <formula>IF(E$54&gt;$F$52,1,0)</formula>
    </cfRule>
  </conditionalFormatting>
  <conditionalFormatting sqref="E31:N31">
    <cfRule type="expression" dxfId="20" priority="5">
      <formula>IF(E$30&gt;$F$28,1,0)</formula>
    </cfRule>
  </conditionalFormatting>
  <conditionalFormatting sqref="E70:N70">
    <cfRule type="expression" dxfId="19" priority="4">
      <formula>IF(E$64&lt;=$F$62,1,0)</formula>
    </cfRule>
  </conditionalFormatting>
  <conditionalFormatting sqref="H10">
    <cfRule type="expression" dxfId="18" priority="3">
      <formula>IF($F$9=1,1,0)</formula>
    </cfRule>
  </conditionalFormatting>
  <conditionalFormatting sqref="E69:N69">
    <cfRule type="expression" dxfId="17" priority="2">
      <formula>IF(E$64&lt;=$F$62,1,0)</formula>
    </cfRule>
  </conditionalFormatting>
  <conditionalFormatting sqref="E69:N69">
    <cfRule type="expression" dxfId="16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>
    <tabColor rgb="FFFFFF00"/>
    <pageSetUpPr fitToPage="1"/>
  </sheetPr>
  <dimension ref="A1:Z59"/>
  <sheetViews>
    <sheetView showGridLines="0" zoomScale="80" zoomScaleNormal="80" workbookViewId="0">
      <selection activeCell="J33" sqref="J33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366</v>
      </c>
    </row>
    <row r="3" spans="2:26">
      <c r="B3" s="130" t="s">
        <v>470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371</v>
      </c>
      <c r="D5" s="54" t="str">
        <f>Netzbetreiber!$D$9</f>
        <v>Stadtwerke Burgdorf Netz GmbH</v>
      </c>
      <c r="E5" s="130"/>
      <c r="J5" s="88" t="s">
        <v>501</v>
      </c>
      <c r="K5" s="131" t="s">
        <v>504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338</v>
      </c>
      <c r="D6" s="54" t="str">
        <f>Netzbetreiber!$D$28</f>
        <v>Netz Burgdorf</v>
      </c>
      <c r="E6" s="130"/>
      <c r="F6" s="130"/>
      <c r="K6" s="131" t="s">
        <v>512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491</v>
      </c>
      <c r="D7" s="54" t="str">
        <f>Netzbetreiber!$D$11</f>
        <v>98701054000004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42675</v>
      </c>
      <c r="E8" s="130"/>
      <c r="F8" s="130"/>
      <c r="H8" s="128" t="s">
        <v>499</v>
      </c>
      <c r="J8" s="132">
        <f>COUNTA(D12:D100)</f>
        <v>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248</v>
      </c>
      <c r="C10" s="135" t="s">
        <v>498</v>
      </c>
      <c r="D10" s="134" t="s">
        <v>147</v>
      </c>
      <c r="E10" s="273" t="s">
        <v>514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638</v>
      </c>
      <c r="M10" s="150" t="s">
        <v>647</v>
      </c>
      <c r="N10" s="151" t="s">
        <v>648</v>
      </c>
      <c r="O10" s="151" t="s">
        <v>649</v>
      </c>
      <c r="P10" s="152" t="s">
        <v>650</v>
      </c>
      <c r="Q10" s="146" t="s">
        <v>639</v>
      </c>
      <c r="R10" s="136" t="s">
        <v>640</v>
      </c>
      <c r="S10" s="137" t="s">
        <v>641</v>
      </c>
      <c r="T10" s="137" t="s">
        <v>642</v>
      </c>
      <c r="U10" s="137" t="s">
        <v>643</v>
      </c>
      <c r="V10" s="137" t="s">
        <v>644</v>
      </c>
      <c r="W10" s="137" t="s">
        <v>645</v>
      </c>
      <c r="X10" s="138" t="s">
        <v>646</v>
      </c>
      <c r="Y10" s="295" t="s">
        <v>651</v>
      </c>
    </row>
    <row r="11" spans="2:26" ht="15.75" thickBot="1">
      <c r="B11" s="139" t="s">
        <v>500</v>
      </c>
      <c r="C11" s="140" t="s">
        <v>513</v>
      </c>
      <c r="D11" s="294" t="s">
        <v>247</v>
      </c>
      <c r="E11" s="164" t="s">
        <v>520</v>
      </c>
      <c r="F11" s="29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335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292">
        <v>365.12299999999999</v>
      </c>
    </row>
    <row r="12" spans="2:26">
      <c r="B12" s="141">
        <v>1</v>
      </c>
      <c r="C12" s="142" t="str">
        <f t="shared" ref="C12:C41" si="0">$D$6</f>
        <v>Netz Burgdorf</v>
      </c>
      <c r="D12" s="62" t="s">
        <v>247</v>
      </c>
      <c r="E12" s="165" t="s">
        <v>666</v>
      </c>
      <c r="F12" s="297" t="str">
        <f>VLOOKUP($E12,'BDEW-Standard'!$B$3:$M$94,F$9,0)</f>
        <v>BA4</v>
      </c>
      <c r="H12" s="274">
        <f>ROUND(VLOOKUP($E12,'BDEW-Standard'!$B$3:$M$94,H$9,0),7)</f>
        <v>0.93158890000000005</v>
      </c>
      <c r="I12" s="274">
        <f>ROUND(VLOOKUP($E12,'BDEW-Standard'!$B$3:$M$94,I$9,0),7)</f>
        <v>-33.35</v>
      </c>
      <c r="J12" s="274">
        <f>ROUND(VLOOKUP($E12,'BDEW-Standard'!$B$3:$M$94,J$9,0),7)</f>
        <v>5.7212303000000002</v>
      </c>
      <c r="K12" s="274">
        <f>ROUND(VLOOKUP($E12,'BDEW-Standard'!$B$3:$M$94,K$9,0),7)</f>
        <v>0.66564939999999995</v>
      </c>
      <c r="L12" s="337">
        <f>ROUND(VLOOKUP($E12,'BDEW-Standard'!$B$3:$M$94,L$9,0),1)</f>
        <v>40</v>
      </c>
      <c r="M12" s="274">
        <f>ROUND(VLOOKUP($E12,'BDEW-Standard'!$B$3:$M$94,M$9,0),7)</f>
        <v>0</v>
      </c>
      <c r="N12" s="274">
        <f>ROUND(VLOOKUP($E12,'BDEW-Standard'!$B$3:$M$94,N$9,0),7)</f>
        <v>0</v>
      </c>
      <c r="O12" s="274">
        <f>ROUND(VLOOKUP($E12,'BDEW-Standard'!$B$3:$M$94,O$9,0),7)</f>
        <v>0</v>
      </c>
      <c r="P12" s="274">
        <f>ROUND(VLOOKUP($E12,'BDEW-Standard'!$B$3:$M$94,P$9,0),7)</f>
        <v>0</v>
      </c>
      <c r="Q12" s="338">
        <f t="shared" ref="Q12:Q26" si="1">($H12/(1+($I12/($Q$9-$L12))^$J12)+$K12)+MAX($M12*$Q$9+$N12,$O12*$Q$9+$P12)</f>
        <v>1.0766391850538448</v>
      </c>
      <c r="R12" s="275">
        <f>ROUND(VLOOKUP(MID($E12,4,3),'Wochentag F(WT)'!$B$7:$J$22,R$9,0),4)</f>
        <v>1.0848</v>
      </c>
      <c r="S12" s="275">
        <f>ROUND(VLOOKUP(MID($E12,4,3),'Wochentag F(WT)'!$B$7:$J$22,S$9,0),4)</f>
        <v>1.1211</v>
      </c>
      <c r="T12" s="275">
        <f>ROUND(VLOOKUP(MID($E12,4,3),'Wochentag F(WT)'!$B$7:$J$22,T$9,0),4)</f>
        <v>1.0769</v>
      </c>
      <c r="U12" s="275">
        <f>ROUND(VLOOKUP(MID($E12,4,3),'Wochentag F(WT)'!$B$7:$J$22,U$9,0),4)</f>
        <v>1.1353</v>
      </c>
      <c r="V12" s="275">
        <f>ROUND(VLOOKUP(MID($E12,4,3),'Wochentag F(WT)'!$B$7:$J$22,V$9,0),4)</f>
        <v>1.1402000000000001</v>
      </c>
      <c r="W12" s="275">
        <f>ROUND(VLOOKUP(MID($E12,4,3),'Wochentag F(WT)'!$B$7:$J$22,W$9,0),4)</f>
        <v>0.48520000000000002</v>
      </c>
      <c r="X12" s="276">
        <f>7-SUM(R12:W12)</f>
        <v>0.95650000000000013</v>
      </c>
      <c r="Y12" s="293"/>
      <c r="Z12" s="211"/>
    </row>
    <row r="13" spans="2:26" s="143" customFormat="1">
      <c r="B13" s="144">
        <v>2</v>
      </c>
      <c r="C13" s="145" t="str">
        <f t="shared" si="0"/>
        <v>Netz Burgdorf</v>
      </c>
      <c r="D13" s="62" t="s">
        <v>247</v>
      </c>
      <c r="E13" s="165" t="s">
        <v>667</v>
      </c>
      <c r="F13" s="297" t="str">
        <f>VLOOKUP($E13,'BDEW-Standard'!$B$3:$M$94,F$9,0)</f>
        <v>BD4</v>
      </c>
      <c r="H13" s="274">
        <f>ROUND(VLOOKUP($E13,'BDEW-Standard'!$B$3:$M$94,H$9,0),7)</f>
        <v>3.75</v>
      </c>
      <c r="I13" s="274">
        <f>ROUND(VLOOKUP($E13,'BDEW-Standard'!$B$3:$M$94,I$9,0),7)</f>
        <v>-37.5</v>
      </c>
      <c r="J13" s="274">
        <f>ROUND(VLOOKUP($E13,'BDEW-Standard'!$B$3:$M$94,J$9,0),7)</f>
        <v>6.8</v>
      </c>
      <c r="K13" s="274">
        <f>ROUND(VLOOKUP($E13,'BDEW-Standard'!$B$3:$M$94,K$9,0),7)</f>
        <v>6.0911300000000002E-2</v>
      </c>
      <c r="L13" s="337">
        <f>ROUND(VLOOKUP($E13,'BDEW-Standard'!$B$3:$M$94,L$9,0),1)</f>
        <v>40</v>
      </c>
      <c r="M13" s="274">
        <f>ROUND(VLOOKUP($E13,'BDEW-Standard'!$B$3:$M$94,M$9,0),7)</f>
        <v>0</v>
      </c>
      <c r="N13" s="274">
        <f>ROUND(VLOOKUP($E13,'BDEW-Standard'!$B$3:$M$94,N$9,0),7)</f>
        <v>0</v>
      </c>
      <c r="O13" s="274">
        <f>ROUND(VLOOKUP($E13,'BDEW-Standard'!$B$3:$M$94,O$9,0),7)</f>
        <v>0</v>
      </c>
      <c r="P13" s="274">
        <f>ROUND(VLOOKUP($E13,'BDEW-Standard'!$B$3:$M$94,P$9,0),7)</f>
        <v>0</v>
      </c>
      <c r="Q13" s="338">
        <f t="shared" si="1"/>
        <v>1.0126136468627658</v>
      </c>
      <c r="R13" s="275">
        <f>ROUND(VLOOKUP(MID($E13,4,3),'Wochentag F(WT)'!$B$7:$J$22,R$9,0),4)</f>
        <v>1.1052</v>
      </c>
      <c r="S13" s="275">
        <f>ROUND(VLOOKUP(MID($E13,4,3),'Wochentag F(WT)'!$B$7:$J$22,S$9,0),4)</f>
        <v>1.0857000000000001</v>
      </c>
      <c r="T13" s="275">
        <f>ROUND(VLOOKUP(MID($E13,4,3),'Wochentag F(WT)'!$B$7:$J$22,T$9,0),4)</f>
        <v>1.0378000000000001</v>
      </c>
      <c r="U13" s="275">
        <f>ROUND(VLOOKUP(MID($E13,4,3),'Wochentag F(WT)'!$B$7:$J$22,U$9,0),4)</f>
        <v>1.0622</v>
      </c>
      <c r="V13" s="275">
        <f>ROUND(VLOOKUP(MID($E13,4,3),'Wochentag F(WT)'!$B$7:$J$22,V$9,0),4)</f>
        <v>1.0266</v>
      </c>
      <c r="W13" s="275">
        <f>ROUND(VLOOKUP(MID($E13,4,3),'Wochentag F(WT)'!$B$7:$J$22,W$9,0),4)</f>
        <v>0.76290000000000002</v>
      </c>
      <c r="X13" s="276">
        <f t="shared" ref="X13:X26" si="2">7-SUM(R13:W13)</f>
        <v>0.91959999999999997</v>
      </c>
      <c r="Y13" s="293"/>
      <c r="Z13" s="211"/>
    </row>
    <row r="14" spans="2:26" s="143" customFormat="1">
      <c r="B14" s="144">
        <v>3</v>
      </c>
      <c r="C14" s="145" t="str">
        <f t="shared" si="0"/>
        <v>Netz Burgdorf</v>
      </c>
      <c r="D14" s="62" t="s">
        <v>247</v>
      </c>
      <c r="E14" s="165" t="s">
        <v>668</v>
      </c>
      <c r="F14" s="297" t="str">
        <f>VLOOKUP($E14,'BDEW-Standard'!$B$3:$M$94,F$9,0)</f>
        <v>BH4</v>
      </c>
      <c r="H14" s="274">
        <f>ROUND(VLOOKUP($E14,'BDEW-Standard'!$B$3:$M$94,H$9,0),7)</f>
        <v>2.4595180999999999</v>
      </c>
      <c r="I14" s="274">
        <f>ROUND(VLOOKUP($E14,'BDEW-Standard'!$B$3:$M$94,I$9,0),7)</f>
        <v>-35.253212400000002</v>
      </c>
      <c r="J14" s="274">
        <f>ROUND(VLOOKUP($E14,'BDEW-Standard'!$B$3:$M$94,J$9,0),7)</f>
        <v>6.0587001000000003</v>
      </c>
      <c r="K14" s="274">
        <f>ROUND(VLOOKUP($E14,'BDEW-Standard'!$B$3:$M$94,K$9,0),7)</f>
        <v>0.16473699999999999</v>
      </c>
      <c r="L14" s="337">
        <f>ROUND(VLOOKUP($E14,'BDEW-Standard'!$B$3:$M$94,L$9,0),1)</f>
        <v>40</v>
      </c>
      <c r="M14" s="274">
        <f>ROUND(VLOOKUP($E14,'BDEW-Standard'!$B$3:$M$94,M$9,0),7)</f>
        <v>0</v>
      </c>
      <c r="N14" s="274">
        <f>ROUND(VLOOKUP($E14,'BDEW-Standard'!$B$3:$M$94,N$9,0),7)</f>
        <v>0</v>
      </c>
      <c r="O14" s="274">
        <f>ROUND(VLOOKUP($E14,'BDEW-Standard'!$B$3:$M$94,O$9,0),7)</f>
        <v>0</v>
      </c>
      <c r="P14" s="274">
        <f>ROUND(VLOOKUP($E14,'BDEW-Standard'!$B$3:$M$94,P$9,0),7)</f>
        <v>0</v>
      </c>
      <c r="Q14" s="338">
        <f t="shared" si="1"/>
        <v>1.043802057143173</v>
      </c>
      <c r="R14" s="275">
        <f>ROUND(VLOOKUP(MID($E14,4,3),'Wochentag F(WT)'!$B$7:$J$22,R$9,0),4)</f>
        <v>0.97670000000000001</v>
      </c>
      <c r="S14" s="275">
        <f>ROUND(VLOOKUP(MID($E14,4,3),'Wochentag F(WT)'!$B$7:$J$22,S$9,0),4)</f>
        <v>1.0388999999999999</v>
      </c>
      <c r="T14" s="275">
        <f>ROUND(VLOOKUP(MID($E14,4,3),'Wochentag F(WT)'!$B$7:$J$22,T$9,0),4)</f>
        <v>1.0027999999999999</v>
      </c>
      <c r="U14" s="275">
        <f>ROUND(VLOOKUP(MID($E14,4,3),'Wochentag F(WT)'!$B$7:$J$22,U$9,0),4)</f>
        <v>1.0162</v>
      </c>
      <c r="V14" s="275">
        <f>ROUND(VLOOKUP(MID($E14,4,3),'Wochentag F(WT)'!$B$7:$J$22,V$9,0),4)</f>
        <v>1.0024</v>
      </c>
      <c r="W14" s="275">
        <f>ROUND(VLOOKUP(MID($E14,4,3),'Wochentag F(WT)'!$B$7:$J$22,W$9,0),4)</f>
        <v>1.0043</v>
      </c>
      <c r="X14" s="276">
        <f t="shared" si="2"/>
        <v>0.95870000000000122</v>
      </c>
      <c r="Y14" s="293"/>
      <c r="Z14" s="211"/>
    </row>
    <row r="15" spans="2:26" s="143" customFormat="1">
      <c r="B15" s="144">
        <v>4</v>
      </c>
      <c r="C15" s="145" t="str">
        <f t="shared" si="0"/>
        <v>Netz Burgdorf</v>
      </c>
      <c r="D15" s="62" t="s">
        <v>247</v>
      </c>
      <c r="E15" s="165" t="s">
        <v>669</v>
      </c>
      <c r="F15" s="297" t="str">
        <f>VLOOKUP($E15,'BDEW-Standard'!$B$3:$M$94,F$9,0)</f>
        <v>GA4</v>
      </c>
      <c r="H15" s="274">
        <f>ROUND(VLOOKUP($E15,'BDEW-Standard'!$B$3:$M$94,H$9,0),7)</f>
        <v>2.8195655999999998</v>
      </c>
      <c r="I15" s="274">
        <f>ROUND(VLOOKUP($E15,'BDEW-Standard'!$B$3:$M$94,I$9,0),7)</f>
        <v>-36</v>
      </c>
      <c r="J15" s="274">
        <f>ROUND(VLOOKUP($E15,'BDEW-Standard'!$B$3:$M$94,J$9,0),7)</f>
        <v>7.7368518000000002</v>
      </c>
      <c r="K15" s="274">
        <f>ROUND(VLOOKUP($E15,'BDEW-Standard'!$B$3:$M$94,K$9,0),7)</f>
        <v>0.157281</v>
      </c>
      <c r="L15" s="337">
        <f>ROUND(VLOOKUP($E15,'BDEW-Standard'!$B$3:$M$94,L$9,0),1)</f>
        <v>40</v>
      </c>
      <c r="M15" s="274">
        <f>ROUND(VLOOKUP($E15,'BDEW-Standard'!$B$3:$M$94,M$9,0),7)</f>
        <v>0</v>
      </c>
      <c r="N15" s="274">
        <f>ROUND(VLOOKUP($E15,'BDEW-Standard'!$B$3:$M$94,N$9,0),7)</f>
        <v>0</v>
      </c>
      <c r="O15" s="274">
        <f>ROUND(VLOOKUP($E15,'BDEW-Standard'!$B$3:$M$94,O$9,0),7)</f>
        <v>0</v>
      </c>
      <c r="P15" s="274">
        <f>ROUND(VLOOKUP($E15,'BDEW-Standard'!$B$3:$M$94,P$9,0),7)</f>
        <v>0</v>
      </c>
      <c r="Q15" s="338">
        <f t="shared" si="1"/>
        <v>0.96576337685759206</v>
      </c>
      <c r="R15" s="275">
        <f>ROUND(VLOOKUP(MID($E15,4,3),'Wochentag F(WT)'!$B$7:$J$22,R$9,0),4)</f>
        <v>0.93220000000000003</v>
      </c>
      <c r="S15" s="275">
        <f>ROUND(VLOOKUP(MID($E15,4,3),'Wochentag F(WT)'!$B$7:$J$22,S$9,0),4)</f>
        <v>0.98939999999999995</v>
      </c>
      <c r="T15" s="275">
        <f>ROUND(VLOOKUP(MID($E15,4,3),'Wochentag F(WT)'!$B$7:$J$22,T$9,0),4)</f>
        <v>1.0033000000000001</v>
      </c>
      <c r="U15" s="275">
        <f>ROUND(VLOOKUP(MID($E15,4,3),'Wochentag F(WT)'!$B$7:$J$22,U$9,0),4)</f>
        <v>1.0108999999999999</v>
      </c>
      <c r="V15" s="275">
        <f>ROUND(VLOOKUP(MID($E15,4,3),'Wochentag F(WT)'!$B$7:$J$22,V$9,0),4)</f>
        <v>1.018</v>
      </c>
      <c r="W15" s="275">
        <f>ROUND(VLOOKUP(MID($E15,4,3),'Wochentag F(WT)'!$B$7:$J$22,W$9,0),4)</f>
        <v>1.0356000000000001</v>
      </c>
      <c r="X15" s="276">
        <f t="shared" si="2"/>
        <v>1.0106000000000002</v>
      </c>
      <c r="Y15" s="293"/>
      <c r="Z15" s="211"/>
    </row>
    <row r="16" spans="2:26" s="143" customFormat="1">
      <c r="B16" s="144">
        <v>5</v>
      </c>
      <c r="C16" s="145" t="str">
        <f t="shared" si="0"/>
        <v>Netz Burgdorf</v>
      </c>
      <c r="D16" s="62" t="s">
        <v>247</v>
      </c>
      <c r="E16" s="165" t="s">
        <v>670</v>
      </c>
      <c r="F16" s="297" t="str">
        <f>VLOOKUP($E16,'BDEW-Standard'!$B$3:$M$94,F$9,0)</f>
        <v>GB4</v>
      </c>
      <c r="H16" s="274">
        <f>ROUND(VLOOKUP($E16,'BDEW-Standard'!$B$3:$M$94,H$9,0),7)</f>
        <v>3.6017736</v>
      </c>
      <c r="I16" s="274">
        <f>ROUND(VLOOKUP($E16,'BDEW-Standard'!$B$3:$M$94,I$9,0),7)</f>
        <v>-37.882536799999997</v>
      </c>
      <c r="J16" s="274">
        <f>ROUND(VLOOKUP($E16,'BDEW-Standard'!$B$3:$M$94,J$9,0),7)</f>
        <v>6.9836070000000001</v>
      </c>
      <c r="K16" s="274">
        <f>ROUND(VLOOKUP($E16,'BDEW-Standard'!$B$3:$M$94,K$9,0),7)</f>
        <v>5.4826199999999999E-2</v>
      </c>
      <c r="L16" s="337">
        <f>ROUND(VLOOKUP($E16,'BDEW-Standard'!$B$3:$M$94,L$9,0),1)</f>
        <v>40</v>
      </c>
      <c r="M16" s="274">
        <f>ROUND(VLOOKUP($E16,'BDEW-Standard'!$B$3:$M$94,M$9,0),7)</f>
        <v>0</v>
      </c>
      <c r="N16" s="274">
        <f>ROUND(VLOOKUP($E16,'BDEW-Standard'!$B$3:$M$94,N$9,0),7)</f>
        <v>0</v>
      </c>
      <c r="O16" s="274">
        <f>ROUND(VLOOKUP($E16,'BDEW-Standard'!$B$3:$M$94,O$9,0),7)</f>
        <v>0</v>
      </c>
      <c r="P16" s="274">
        <f>ROUND(VLOOKUP($E16,'BDEW-Standard'!$B$3:$M$94,P$9,0),7)</f>
        <v>0</v>
      </c>
      <c r="Q16" s="338">
        <f t="shared" si="1"/>
        <v>0.90239375975311864</v>
      </c>
      <c r="R16" s="275">
        <f>ROUND(VLOOKUP(MID($E16,4,3),'Wochentag F(WT)'!$B$7:$J$22,R$9,0),4)</f>
        <v>0.98970000000000002</v>
      </c>
      <c r="S16" s="275">
        <f>ROUND(VLOOKUP(MID($E16,4,3),'Wochentag F(WT)'!$B$7:$J$22,S$9,0),4)</f>
        <v>0.9627</v>
      </c>
      <c r="T16" s="275">
        <f>ROUND(VLOOKUP(MID($E16,4,3),'Wochentag F(WT)'!$B$7:$J$22,T$9,0),4)</f>
        <v>1.0507</v>
      </c>
      <c r="U16" s="275">
        <f>ROUND(VLOOKUP(MID($E16,4,3),'Wochentag F(WT)'!$B$7:$J$22,U$9,0),4)</f>
        <v>1.0551999999999999</v>
      </c>
      <c r="V16" s="275">
        <f>ROUND(VLOOKUP(MID($E16,4,3),'Wochentag F(WT)'!$B$7:$J$22,V$9,0),4)</f>
        <v>1.0297000000000001</v>
      </c>
      <c r="W16" s="275">
        <f>ROUND(VLOOKUP(MID($E16,4,3),'Wochentag F(WT)'!$B$7:$J$22,W$9,0),4)</f>
        <v>0.97670000000000001</v>
      </c>
      <c r="X16" s="276">
        <f t="shared" si="2"/>
        <v>0.9352999999999998</v>
      </c>
      <c r="Y16" s="293"/>
      <c r="Z16" s="211"/>
    </row>
    <row r="17" spans="2:26" s="143" customFormat="1">
      <c r="B17" s="144">
        <v>6</v>
      </c>
      <c r="C17" s="145" t="str">
        <f t="shared" si="0"/>
        <v>Netz Burgdorf</v>
      </c>
      <c r="D17" s="62" t="s">
        <v>247</v>
      </c>
      <c r="E17" s="165" t="s">
        <v>671</v>
      </c>
      <c r="F17" s="297" t="str">
        <f>VLOOKUP($E17,'BDEW-Standard'!$B$3:$M$94,F$9,0)</f>
        <v>HA4</v>
      </c>
      <c r="H17" s="274">
        <f>ROUND(VLOOKUP($E17,'BDEW-Standard'!$B$3:$M$94,H$9,0),7)</f>
        <v>4.0196902000000003</v>
      </c>
      <c r="I17" s="274">
        <f>ROUND(VLOOKUP($E17,'BDEW-Standard'!$B$3:$M$94,I$9,0),7)</f>
        <v>-37.828203700000003</v>
      </c>
      <c r="J17" s="274">
        <f>ROUND(VLOOKUP($E17,'BDEW-Standard'!$B$3:$M$94,J$9,0),7)</f>
        <v>8.1593368999999996</v>
      </c>
      <c r="K17" s="274">
        <f>ROUND(VLOOKUP($E17,'BDEW-Standard'!$B$3:$M$94,K$9,0),7)</f>
        <v>4.72845E-2</v>
      </c>
      <c r="L17" s="337">
        <f>ROUND(VLOOKUP($E17,'BDEW-Standard'!$B$3:$M$94,L$9,0),1)</f>
        <v>40</v>
      </c>
      <c r="M17" s="274">
        <f>ROUND(VLOOKUP($E17,'BDEW-Standard'!$B$3:$M$94,M$9,0),7)</f>
        <v>0</v>
      </c>
      <c r="N17" s="274">
        <f>ROUND(VLOOKUP($E17,'BDEW-Standard'!$B$3:$M$94,N$9,0),7)</f>
        <v>0</v>
      </c>
      <c r="O17" s="274">
        <f>ROUND(VLOOKUP($E17,'BDEW-Standard'!$B$3:$M$94,O$9,0),7)</f>
        <v>0</v>
      </c>
      <c r="P17" s="274">
        <f>ROUND(VLOOKUP($E17,'BDEW-Standard'!$B$3:$M$94,P$9,0),7)</f>
        <v>0</v>
      </c>
      <c r="Q17" s="338">
        <f t="shared" si="1"/>
        <v>0.86486713303260787</v>
      </c>
      <c r="R17" s="275">
        <f>ROUND(VLOOKUP(MID($E17,4,3),'Wochentag F(WT)'!$B$7:$J$22,R$9,0),4)</f>
        <v>1.0358000000000001</v>
      </c>
      <c r="S17" s="275">
        <f>ROUND(VLOOKUP(MID($E17,4,3),'Wochentag F(WT)'!$B$7:$J$22,S$9,0),4)</f>
        <v>1.0232000000000001</v>
      </c>
      <c r="T17" s="275">
        <f>ROUND(VLOOKUP(MID($E17,4,3),'Wochentag F(WT)'!$B$7:$J$22,T$9,0),4)</f>
        <v>1.0251999999999999</v>
      </c>
      <c r="U17" s="275">
        <f>ROUND(VLOOKUP(MID($E17,4,3),'Wochentag F(WT)'!$B$7:$J$22,U$9,0),4)</f>
        <v>1.0295000000000001</v>
      </c>
      <c r="V17" s="275">
        <f>ROUND(VLOOKUP(MID($E17,4,3),'Wochentag F(WT)'!$B$7:$J$22,V$9,0),4)</f>
        <v>1.0253000000000001</v>
      </c>
      <c r="W17" s="275">
        <f>ROUND(VLOOKUP(MID($E17,4,3),'Wochentag F(WT)'!$B$7:$J$22,W$9,0),4)</f>
        <v>0.96750000000000003</v>
      </c>
      <c r="X17" s="276">
        <f t="shared" si="2"/>
        <v>0.89350000000000041</v>
      </c>
      <c r="Y17" s="293"/>
      <c r="Z17" s="211"/>
    </row>
    <row r="18" spans="2:26" s="143" customFormat="1">
      <c r="B18" s="144">
        <v>7</v>
      </c>
      <c r="C18" s="145" t="str">
        <f t="shared" si="0"/>
        <v>Netz Burgdorf</v>
      </c>
      <c r="D18" s="62" t="s">
        <v>247</v>
      </c>
      <c r="E18" s="165" t="s">
        <v>672</v>
      </c>
      <c r="F18" s="297" t="str">
        <f>VLOOKUP($E18,'BDEW-Standard'!$B$3:$M$94,F$9,0)</f>
        <v>HD4</v>
      </c>
      <c r="H18" s="274">
        <f>ROUND(VLOOKUP($E18,'BDEW-Standard'!$B$3:$M$94,H$9,0),7)</f>
        <v>3.0084346000000002</v>
      </c>
      <c r="I18" s="274">
        <f>ROUND(VLOOKUP($E18,'BDEW-Standard'!$B$3:$M$94,I$9,0),7)</f>
        <v>-36.607845300000001</v>
      </c>
      <c r="J18" s="274">
        <f>ROUND(VLOOKUP($E18,'BDEW-Standard'!$B$3:$M$94,J$9,0),7)</f>
        <v>7.3211870000000001</v>
      </c>
      <c r="K18" s="274">
        <f>ROUND(VLOOKUP($E18,'BDEW-Standard'!$B$3:$M$94,K$9,0),7)</f>
        <v>0.15496599999999999</v>
      </c>
      <c r="L18" s="337">
        <f>ROUND(VLOOKUP($E18,'BDEW-Standard'!$B$3:$M$94,L$9,0),1)</f>
        <v>40</v>
      </c>
      <c r="M18" s="274">
        <f>ROUND(VLOOKUP($E18,'BDEW-Standard'!$B$3:$M$94,M$9,0),7)</f>
        <v>0</v>
      </c>
      <c r="N18" s="274">
        <f>ROUND(VLOOKUP($E18,'BDEW-Standard'!$B$3:$M$94,N$9,0),7)</f>
        <v>0</v>
      </c>
      <c r="O18" s="274">
        <f>ROUND(VLOOKUP($E18,'BDEW-Standard'!$B$3:$M$94,O$9,0),7)</f>
        <v>0</v>
      </c>
      <c r="P18" s="274">
        <f>ROUND(VLOOKUP($E18,'BDEW-Standard'!$B$3:$M$94,P$9,0),7)</f>
        <v>0</v>
      </c>
      <c r="Q18" s="338">
        <f t="shared" si="1"/>
        <v>0.97302438504000599</v>
      </c>
      <c r="R18" s="275">
        <f>ROUND(VLOOKUP(MID($E18,4,3),'Wochentag F(WT)'!$B$7:$J$22,R$9,0),4)</f>
        <v>1.03</v>
      </c>
      <c r="S18" s="275">
        <f>ROUND(VLOOKUP(MID($E18,4,3),'Wochentag F(WT)'!$B$7:$J$22,S$9,0),4)</f>
        <v>1.03</v>
      </c>
      <c r="T18" s="275">
        <f>ROUND(VLOOKUP(MID($E18,4,3),'Wochentag F(WT)'!$B$7:$J$22,T$9,0),4)</f>
        <v>1.02</v>
      </c>
      <c r="U18" s="275">
        <f>ROUND(VLOOKUP(MID($E18,4,3),'Wochentag F(WT)'!$B$7:$J$22,U$9,0),4)</f>
        <v>1.03</v>
      </c>
      <c r="V18" s="275">
        <f>ROUND(VLOOKUP(MID($E18,4,3),'Wochentag F(WT)'!$B$7:$J$22,V$9,0),4)</f>
        <v>1.01</v>
      </c>
      <c r="W18" s="275">
        <f>ROUND(VLOOKUP(MID($E18,4,3),'Wochentag F(WT)'!$B$7:$J$22,W$9,0),4)</f>
        <v>0.93</v>
      </c>
      <c r="X18" s="276">
        <f t="shared" si="2"/>
        <v>0.95000000000000018</v>
      </c>
      <c r="Y18" s="293"/>
      <c r="Z18" s="211"/>
    </row>
    <row r="19" spans="2:26" s="143" customFormat="1">
      <c r="B19" s="144">
        <v>8</v>
      </c>
      <c r="C19" s="145" t="str">
        <f t="shared" si="0"/>
        <v>Netz Burgdorf</v>
      </c>
      <c r="D19" s="62" t="s">
        <v>247</v>
      </c>
      <c r="E19" s="165" t="s">
        <v>4</v>
      </c>
      <c r="F19" s="297" t="str">
        <f>VLOOKUP($E19,'BDEW-Standard'!$B$3:$M$94,F$9,0)</f>
        <v>HK3</v>
      </c>
      <c r="H19" s="274">
        <f>ROUND(VLOOKUP($E19,'BDEW-Standard'!$B$3:$M$94,H$9,0),7)</f>
        <v>0.40409319999999999</v>
      </c>
      <c r="I19" s="274">
        <f>ROUND(VLOOKUP($E19,'BDEW-Standard'!$B$3:$M$94,I$9,0),7)</f>
        <v>-24.439296800000001</v>
      </c>
      <c r="J19" s="274">
        <f>ROUND(VLOOKUP($E19,'BDEW-Standard'!$B$3:$M$94,J$9,0),7)</f>
        <v>6.5718174999999999</v>
      </c>
      <c r="K19" s="274">
        <f>ROUND(VLOOKUP($E19,'BDEW-Standard'!$B$3:$M$94,K$9,0),7)</f>
        <v>0.71077100000000004</v>
      </c>
      <c r="L19" s="337">
        <f>ROUND(VLOOKUP($E19,'BDEW-Standard'!$B$3:$M$94,L$9,0),1)</f>
        <v>40</v>
      </c>
      <c r="M19" s="274">
        <f>ROUND(VLOOKUP($E19,'BDEW-Standard'!$B$3:$M$94,M$9,0),7)</f>
        <v>0</v>
      </c>
      <c r="N19" s="274">
        <f>ROUND(VLOOKUP($E19,'BDEW-Standard'!$B$3:$M$94,N$9,0),7)</f>
        <v>0</v>
      </c>
      <c r="O19" s="274">
        <f>ROUND(VLOOKUP($E19,'BDEW-Standard'!$B$3:$M$94,O$9,0),7)</f>
        <v>0</v>
      </c>
      <c r="P19" s="274">
        <f>ROUND(VLOOKUP($E19,'BDEW-Standard'!$B$3:$M$94,P$9,0),7)</f>
        <v>0</v>
      </c>
      <c r="Q19" s="338">
        <f t="shared" si="1"/>
        <v>1.0561214000512988</v>
      </c>
      <c r="R19" s="275">
        <f>ROUND(VLOOKUP(MID($E19,4,3),'Wochentag F(WT)'!$B$7:$J$22,R$9,0),4)</f>
        <v>1</v>
      </c>
      <c r="S19" s="275">
        <f>ROUND(VLOOKUP(MID($E19,4,3),'Wochentag F(WT)'!$B$7:$J$22,S$9,0),4)</f>
        <v>1</v>
      </c>
      <c r="T19" s="275">
        <f>ROUND(VLOOKUP(MID($E19,4,3),'Wochentag F(WT)'!$B$7:$J$22,T$9,0),4)</f>
        <v>1</v>
      </c>
      <c r="U19" s="275">
        <f>ROUND(VLOOKUP(MID($E19,4,3),'Wochentag F(WT)'!$B$7:$J$22,U$9,0),4)</f>
        <v>1</v>
      </c>
      <c r="V19" s="275">
        <f>ROUND(VLOOKUP(MID($E19,4,3),'Wochentag F(WT)'!$B$7:$J$22,V$9,0),4)</f>
        <v>1</v>
      </c>
      <c r="W19" s="275">
        <f>ROUND(VLOOKUP(MID($E19,4,3),'Wochentag F(WT)'!$B$7:$J$22,W$9,0),4)</f>
        <v>1</v>
      </c>
      <c r="X19" s="276">
        <f t="shared" si="2"/>
        <v>1</v>
      </c>
      <c r="Y19" s="293"/>
      <c r="Z19" s="211"/>
    </row>
    <row r="20" spans="2:26" s="143" customFormat="1">
      <c r="B20" s="144">
        <v>9</v>
      </c>
      <c r="C20" s="145" t="str">
        <f t="shared" si="0"/>
        <v>Netz Burgdorf</v>
      </c>
      <c r="D20" s="62" t="s">
        <v>247</v>
      </c>
      <c r="E20" s="165" t="s">
        <v>673</v>
      </c>
      <c r="F20" s="297" t="str">
        <f>VLOOKUP($E20,'BDEW-Standard'!$B$3:$M$94,F$9,0)</f>
        <v>KO4</v>
      </c>
      <c r="H20" s="274">
        <f>ROUND(VLOOKUP($E20,'BDEW-Standard'!$B$3:$M$94,H$9,0),7)</f>
        <v>3.4428942999999999</v>
      </c>
      <c r="I20" s="274">
        <f>ROUND(VLOOKUP($E20,'BDEW-Standard'!$B$3:$M$94,I$9,0),7)</f>
        <v>-36.659050399999998</v>
      </c>
      <c r="J20" s="274">
        <f>ROUND(VLOOKUP($E20,'BDEW-Standard'!$B$3:$M$94,J$9,0),7)</f>
        <v>7.6083226000000002</v>
      </c>
      <c r="K20" s="274">
        <f>ROUND(VLOOKUP($E20,'BDEW-Standard'!$B$3:$M$94,K$9,0),7)</f>
        <v>7.4685000000000001E-2</v>
      </c>
      <c r="L20" s="337">
        <f>ROUND(VLOOKUP($E20,'BDEW-Standard'!$B$3:$M$94,L$9,0),1)</f>
        <v>40</v>
      </c>
      <c r="M20" s="274">
        <f>ROUND(VLOOKUP($E20,'BDEW-Standard'!$B$3:$M$94,M$9,0),7)</f>
        <v>0</v>
      </c>
      <c r="N20" s="274">
        <f>ROUND(VLOOKUP($E20,'BDEW-Standard'!$B$3:$M$94,N$9,0),7)</f>
        <v>0</v>
      </c>
      <c r="O20" s="274">
        <f>ROUND(VLOOKUP($E20,'BDEW-Standard'!$B$3:$M$94,O$9,0),7)</f>
        <v>0</v>
      </c>
      <c r="P20" s="274">
        <f>ROUND(VLOOKUP($E20,'BDEW-Standard'!$B$3:$M$94,P$9,0),7)</f>
        <v>0</v>
      </c>
      <c r="Q20" s="338">
        <f t="shared" si="1"/>
        <v>0.97768382110526542</v>
      </c>
      <c r="R20" s="275">
        <f>ROUND(VLOOKUP(MID($E20,4,3),'Wochentag F(WT)'!$B$7:$J$22,R$9,0),4)</f>
        <v>1.0354000000000001</v>
      </c>
      <c r="S20" s="275">
        <f>ROUND(VLOOKUP(MID($E20,4,3),'Wochentag F(WT)'!$B$7:$J$22,S$9,0),4)</f>
        <v>1.0523</v>
      </c>
      <c r="T20" s="275">
        <f>ROUND(VLOOKUP(MID($E20,4,3),'Wochentag F(WT)'!$B$7:$J$22,T$9,0),4)</f>
        <v>1.0448999999999999</v>
      </c>
      <c r="U20" s="275">
        <f>ROUND(VLOOKUP(MID($E20,4,3),'Wochentag F(WT)'!$B$7:$J$22,U$9,0),4)</f>
        <v>1.0494000000000001</v>
      </c>
      <c r="V20" s="275">
        <f>ROUND(VLOOKUP(MID($E20,4,3),'Wochentag F(WT)'!$B$7:$J$22,V$9,0),4)</f>
        <v>0.98850000000000005</v>
      </c>
      <c r="W20" s="275">
        <f>ROUND(VLOOKUP(MID($E20,4,3),'Wochentag F(WT)'!$B$7:$J$22,W$9,0),4)</f>
        <v>0.88600000000000001</v>
      </c>
      <c r="X20" s="276">
        <f t="shared" si="2"/>
        <v>0.94349999999999934</v>
      </c>
      <c r="Y20" s="293"/>
      <c r="Z20" s="211"/>
    </row>
    <row r="21" spans="2:26" s="143" customFormat="1">
      <c r="B21" s="144">
        <v>10</v>
      </c>
      <c r="C21" s="145" t="str">
        <f t="shared" si="0"/>
        <v>Netz Burgdorf</v>
      </c>
      <c r="D21" s="62" t="s">
        <v>247</v>
      </c>
      <c r="E21" s="165" t="s">
        <v>674</v>
      </c>
      <c r="F21" s="297" t="str">
        <f>VLOOKUP($E21,'BDEW-Standard'!$B$3:$M$94,F$9,0)</f>
        <v>MF4</v>
      </c>
      <c r="H21" s="274">
        <f>ROUND(VLOOKUP($E21,'BDEW-Standard'!$B$3:$M$94,H$9,0),7)</f>
        <v>2.5187775000000001</v>
      </c>
      <c r="I21" s="274">
        <f>ROUND(VLOOKUP($E21,'BDEW-Standard'!$B$3:$M$94,I$9,0),7)</f>
        <v>-35.033375399999997</v>
      </c>
      <c r="J21" s="274">
        <f>ROUND(VLOOKUP($E21,'BDEW-Standard'!$B$3:$M$94,J$9,0),7)</f>
        <v>6.2240634000000004</v>
      </c>
      <c r="K21" s="274">
        <f>ROUND(VLOOKUP($E21,'BDEW-Standard'!$B$3:$M$94,K$9,0),7)</f>
        <v>0.10107820000000001</v>
      </c>
      <c r="L21" s="337">
        <f>ROUND(VLOOKUP($E21,'BDEW-Standard'!$B$3:$M$94,L$9,0),1)</f>
        <v>40</v>
      </c>
      <c r="M21" s="274">
        <f>ROUND(VLOOKUP($E21,'BDEW-Standard'!$B$3:$M$94,M$9,0),7)</f>
        <v>0</v>
      </c>
      <c r="N21" s="274">
        <f>ROUND(VLOOKUP($E21,'BDEW-Standard'!$B$3:$M$94,N$9,0),7)</f>
        <v>0</v>
      </c>
      <c r="O21" s="274">
        <f>ROUND(VLOOKUP($E21,'BDEW-Standard'!$B$3:$M$94,O$9,0),7)</f>
        <v>0</v>
      </c>
      <c r="P21" s="274">
        <f>ROUND(VLOOKUP($E21,'BDEW-Standard'!$B$3:$M$94,P$9,0),7)</f>
        <v>0</v>
      </c>
      <c r="Q21" s="338">
        <f t="shared" si="1"/>
        <v>1.0146273685996503</v>
      </c>
      <c r="R21" s="275">
        <f>ROUND(VLOOKUP(MID($E21,4,3),'Wochentag F(WT)'!$B$7:$J$22,R$9,0),4)</f>
        <v>1.0354000000000001</v>
      </c>
      <c r="S21" s="275">
        <f>ROUND(VLOOKUP(MID($E21,4,3),'Wochentag F(WT)'!$B$7:$J$22,S$9,0),4)</f>
        <v>1.0523</v>
      </c>
      <c r="T21" s="275">
        <f>ROUND(VLOOKUP(MID($E21,4,3),'Wochentag F(WT)'!$B$7:$J$22,T$9,0),4)</f>
        <v>1.0448999999999999</v>
      </c>
      <c r="U21" s="275">
        <f>ROUND(VLOOKUP(MID($E21,4,3),'Wochentag F(WT)'!$B$7:$J$22,U$9,0),4)</f>
        <v>1.0494000000000001</v>
      </c>
      <c r="V21" s="275">
        <f>ROUND(VLOOKUP(MID($E21,4,3),'Wochentag F(WT)'!$B$7:$J$22,V$9,0),4)</f>
        <v>0.98850000000000005</v>
      </c>
      <c r="W21" s="275">
        <f>ROUND(VLOOKUP(MID($E21,4,3),'Wochentag F(WT)'!$B$7:$J$22,W$9,0),4)</f>
        <v>0.88600000000000001</v>
      </c>
      <c r="X21" s="276">
        <f t="shared" si="2"/>
        <v>0.94349999999999934</v>
      </c>
      <c r="Y21" s="293"/>
      <c r="Z21" s="211"/>
    </row>
    <row r="22" spans="2:26" s="143" customFormat="1">
      <c r="B22" s="144">
        <v>11</v>
      </c>
      <c r="C22" s="145" t="str">
        <f t="shared" si="0"/>
        <v>Netz Burgdorf</v>
      </c>
      <c r="D22" s="62" t="s">
        <v>247</v>
      </c>
      <c r="E22" s="165" t="s">
        <v>675</v>
      </c>
      <c r="F22" s="297" t="str">
        <f>VLOOKUP($E22,'BDEW-Standard'!$B$3:$M$94,F$9,0)</f>
        <v>MK4</v>
      </c>
      <c r="H22" s="274">
        <f>ROUND(VLOOKUP($E22,'BDEW-Standard'!$B$3:$M$94,H$9,0),7)</f>
        <v>3.1177248</v>
      </c>
      <c r="I22" s="274">
        <f>ROUND(VLOOKUP($E22,'BDEW-Standard'!$B$3:$M$94,I$9,0),7)</f>
        <v>-35.871506199999999</v>
      </c>
      <c r="J22" s="274">
        <f>ROUND(VLOOKUP($E22,'BDEW-Standard'!$B$3:$M$94,J$9,0),7)</f>
        <v>7.5186828999999999</v>
      </c>
      <c r="K22" s="274">
        <f>ROUND(VLOOKUP($E22,'BDEW-Standard'!$B$3:$M$94,K$9,0),7)</f>
        <v>3.4330100000000002E-2</v>
      </c>
      <c r="L22" s="337">
        <f>ROUND(VLOOKUP($E22,'BDEW-Standard'!$B$3:$M$94,L$9,0),1)</f>
        <v>40</v>
      </c>
      <c r="M22" s="274">
        <f>ROUND(VLOOKUP($E22,'BDEW-Standard'!$B$3:$M$94,M$9,0),7)</f>
        <v>0</v>
      </c>
      <c r="N22" s="274">
        <f>ROUND(VLOOKUP($E22,'BDEW-Standard'!$B$3:$M$94,N$9,0),7)</f>
        <v>0</v>
      </c>
      <c r="O22" s="274">
        <f>ROUND(VLOOKUP($E22,'BDEW-Standard'!$B$3:$M$94,O$9,0),7)</f>
        <v>0</v>
      </c>
      <c r="P22" s="274">
        <f>ROUND(VLOOKUP($E22,'BDEW-Standard'!$B$3:$M$94,P$9,0),7)</f>
        <v>0</v>
      </c>
      <c r="Q22" s="338">
        <f t="shared" si="1"/>
        <v>0.9622064996731321</v>
      </c>
      <c r="R22" s="275">
        <f>ROUND(VLOOKUP(MID($E22,4,3),'Wochentag F(WT)'!$B$7:$J$22,R$9,0),4)</f>
        <v>1.0699000000000001</v>
      </c>
      <c r="S22" s="275">
        <f>ROUND(VLOOKUP(MID($E22,4,3),'Wochentag F(WT)'!$B$7:$J$22,S$9,0),4)</f>
        <v>1.0365</v>
      </c>
      <c r="T22" s="275">
        <f>ROUND(VLOOKUP(MID($E22,4,3),'Wochentag F(WT)'!$B$7:$J$22,T$9,0),4)</f>
        <v>0.99329999999999996</v>
      </c>
      <c r="U22" s="275">
        <f>ROUND(VLOOKUP(MID($E22,4,3),'Wochentag F(WT)'!$B$7:$J$22,U$9,0),4)</f>
        <v>0.99480000000000002</v>
      </c>
      <c r="V22" s="275">
        <f>ROUND(VLOOKUP(MID($E22,4,3),'Wochentag F(WT)'!$B$7:$J$22,V$9,0),4)</f>
        <v>1.0659000000000001</v>
      </c>
      <c r="W22" s="275">
        <f>ROUND(VLOOKUP(MID($E22,4,3),'Wochentag F(WT)'!$B$7:$J$22,W$9,0),4)</f>
        <v>0.93620000000000003</v>
      </c>
      <c r="X22" s="276">
        <f t="shared" si="2"/>
        <v>0.90339999999999954</v>
      </c>
      <c r="Y22" s="293"/>
      <c r="Z22" s="211"/>
    </row>
    <row r="23" spans="2:26" s="143" customFormat="1">
      <c r="B23" s="144">
        <v>12</v>
      </c>
      <c r="C23" s="145" t="str">
        <f t="shared" si="0"/>
        <v>Netz Burgdorf</v>
      </c>
      <c r="D23" s="62" t="s">
        <v>247</v>
      </c>
      <c r="E23" s="165" t="s">
        <v>676</v>
      </c>
      <c r="F23" s="297" t="str">
        <f>VLOOKUP($E23,'BDEW-Standard'!$B$3:$M$94,F$9,0)</f>
        <v>PD4</v>
      </c>
      <c r="H23" s="274">
        <f>ROUND(VLOOKUP($E23,'BDEW-Standard'!$B$3:$M$94,H$9,0),7)</f>
        <v>3.85</v>
      </c>
      <c r="I23" s="274">
        <f>ROUND(VLOOKUP($E23,'BDEW-Standard'!$B$3:$M$94,I$9,0),7)</f>
        <v>-37</v>
      </c>
      <c r="J23" s="274">
        <f>ROUND(VLOOKUP($E23,'BDEW-Standard'!$B$3:$M$94,J$9,0),7)</f>
        <v>10.2405021</v>
      </c>
      <c r="K23" s="274">
        <f>ROUND(VLOOKUP($E23,'BDEW-Standard'!$B$3:$M$94,K$9,0),7)</f>
        <v>4.6924300000000002E-2</v>
      </c>
      <c r="L23" s="337">
        <f>ROUND(VLOOKUP($E23,'BDEW-Standard'!$B$3:$M$94,L$9,0),1)</f>
        <v>40</v>
      </c>
      <c r="M23" s="274">
        <f>ROUND(VLOOKUP($E23,'BDEW-Standard'!$B$3:$M$94,M$9,0),7)</f>
        <v>0</v>
      </c>
      <c r="N23" s="274">
        <f>ROUND(VLOOKUP($E23,'BDEW-Standard'!$B$3:$M$94,N$9,0),7)</f>
        <v>0</v>
      </c>
      <c r="O23" s="274">
        <f>ROUND(VLOOKUP($E23,'BDEW-Standard'!$B$3:$M$94,O$9,0),7)</f>
        <v>0</v>
      </c>
      <c r="P23" s="274">
        <f>ROUND(VLOOKUP($E23,'BDEW-Standard'!$B$3:$M$94,P$9,0),7)</f>
        <v>0</v>
      </c>
      <c r="Q23" s="338">
        <f t="shared" si="1"/>
        <v>0.75691065279879233</v>
      </c>
      <c r="R23" s="275">
        <f>ROUND(VLOOKUP(MID($E23,4,3),'Wochentag F(WT)'!$B$7:$J$22,R$9,0),4)</f>
        <v>1.0214000000000001</v>
      </c>
      <c r="S23" s="275">
        <f>ROUND(VLOOKUP(MID($E23,4,3),'Wochentag F(WT)'!$B$7:$J$22,S$9,0),4)</f>
        <v>1.0866</v>
      </c>
      <c r="T23" s="275">
        <f>ROUND(VLOOKUP(MID($E23,4,3),'Wochentag F(WT)'!$B$7:$J$22,T$9,0),4)</f>
        <v>1.0720000000000001</v>
      </c>
      <c r="U23" s="275">
        <f>ROUND(VLOOKUP(MID($E23,4,3),'Wochentag F(WT)'!$B$7:$J$22,U$9,0),4)</f>
        <v>1.0557000000000001</v>
      </c>
      <c r="V23" s="275">
        <f>ROUND(VLOOKUP(MID($E23,4,3),'Wochentag F(WT)'!$B$7:$J$22,V$9,0),4)</f>
        <v>1.0117</v>
      </c>
      <c r="W23" s="275">
        <f>ROUND(VLOOKUP(MID($E23,4,3),'Wochentag F(WT)'!$B$7:$J$22,W$9,0),4)</f>
        <v>0.90010000000000001</v>
      </c>
      <c r="X23" s="276">
        <f t="shared" si="2"/>
        <v>0.85249999999999915</v>
      </c>
      <c r="Y23" s="293"/>
      <c r="Z23" s="211"/>
    </row>
    <row r="24" spans="2:26" s="143" customFormat="1">
      <c r="B24" s="144">
        <v>13</v>
      </c>
      <c r="C24" s="145" t="str">
        <f t="shared" si="0"/>
        <v>Netz Burgdorf</v>
      </c>
      <c r="D24" s="62" t="s">
        <v>247</v>
      </c>
      <c r="E24" s="165" t="s">
        <v>677</v>
      </c>
      <c r="F24" s="297" t="str">
        <f>VLOOKUP($E24,'BDEW-Standard'!$B$3:$M$94,F$9,0)</f>
        <v>WA4</v>
      </c>
      <c r="H24" s="274">
        <f>ROUND(VLOOKUP($E24,'BDEW-Standard'!$B$3:$M$94,H$9,0),7)</f>
        <v>1.0535874999999999</v>
      </c>
      <c r="I24" s="274">
        <f>ROUND(VLOOKUP($E24,'BDEW-Standard'!$B$3:$M$94,I$9,0),7)</f>
        <v>-35.299999999999997</v>
      </c>
      <c r="J24" s="274">
        <f>ROUND(VLOOKUP($E24,'BDEW-Standard'!$B$3:$M$94,J$9,0),7)</f>
        <v>4.8662747</v>
      </c>
      <c r="K24" s="274">
        <f>ROUND(VLOOKUP($E24,'BDEW-Standard'!$B$3:$M$94,K$9,0),7)</f>
        <v>0.68110420000000005</v>
      </c>
      <c r="L24" s="337">
        <f>ROUND(VLOOKUP($E24,'BDEW-Standard'!$B$3:$M$94,L$9,0),1)</f>
        <v>40</v>
      </c>
      <c r="M24" s="274">
        <f>ROUND(VLOOKUP($E24,'BDEW-Standard'!$B$3:$M$94,M$9,0),7)</f>
        <v>0</v>
      </c>
      <c r="N24" s="274">
        <f>ROUND(VLOOKUP($E24,'BDEW-Standard'!$B$3:$M$94,N$9,0),7)</f>
        <v>0</v>
      </c>
      <c r="O24" s="274">
        <f>ROUND(VLOOKUP($E24,'BDEW-Standard'!$B$3:$M$94,O$9,0),7)</f>
        <v>0</v>
      </c>
      <c r="P24" s="274">
        <f>ROUND(VLOOKUP($E24,'BDEW-Standard'!$B$3:$M$94,P$9,0),7)</f>
        <v>0</v>
      </c>
      <c r="Q24" s="338">
        <f t="shared" si="1"/>
        <v>1.0844348950990992</v>
      </c>
      <c r="R24" s="275">
        <f>ROUND(VLOOKUP(MID($E24,4,3),'Wochentag F(WT)'!$B$7:$J$22,R$9,0),4)</f>
        <v>1.2457</v>
      </c>
      <c r="S24" s="275">
        <f>ROUND(VLOOKUP(MID($E24,4,3),'Wochentag F(WT)'!$B$7:$J$22,S$9,0),4)</f>
        <v>1.2615000000000001</v>
      </c>
      <c r="T24" s="275">
        <f>ROUND(VLOOKUP(MID($E24,4,3),'Wochentag F(WT)'!$B$7:$J$22,T$9,0),4)</f>
        <v>1.2706999999999999</v>
      </c>
      <c r="U24" s="275">
        <f>ROUND(VLOOKUP(MID($E24,4,3),'Wochentag F(WT)'!$B$7:$J$22,U$9,0),4)</f>
        <v>1.2430000000000001</v>
      </c>
      <c r="V24" s="275">
        <f>ROUND(VLOOKUP(MID($E24,4,3),'Wochentag F(WT)'!$B$7:$J$22,V$9,0),4)</f>
        <v>1.1275999999999999</v>
      </c>
      <c r="W24" s="275">
        <f>ROUND(VLOOKUP(MID($E24,4,3),'Wochentag F(WT)'!$B$7:$J$22,W$9,0),4)</f>
        <v>0.38769999999999999</v>
      </c>
      <c r="X24" s="276">
        <f t="shared" si="2"/>
        <v>0.46379999999999999</v>
      </c>
      <c r="Y24" s="293"/>
      <c r="Z24" s="211"/>
    </row>
    <row r="25" spans="2:26" s="143" customFormat="1">
      <c r="B25" s="144">
        <v>14</v>
      </c>
      <c r="C25" s="145" t="str">
        <f t="shared" si="0"/>
        <v>Netz Burgdorf</v>
      </c>
      <c r="D25" s="62" t="s">
        <v>247</v>
      </c>
      <c r="E25" s="165" t="s">
        <v>24</v>
      </c>
      <c r="F25" s="297" t="str">
        <f>VLOOKUP($E25,'BDEW-Standard'!$B$3:$M$154,F$9,0)</f>
        <v>I14</v>
      </c>
      <c r="H25" s="274">
        <f>ROUND(VLOOKUP($E25,'BDEW-Standard'!$B$3:$M$154,H$9,0),7)</f>
        <v>3.1935978</v>
      </c>
      <c r="I25" s="356">
        <f>ROUND(VLOOKUP($E25,'BDEW-Standard'!$B$3:$M$154,I$9,0),7)</f>
        <v>-37.414247799999998</v>
      </c>
      <c r="J25" s="356">
        <f>ROUND(VLOOKUP($E25,'BDEW-Standard'!$B$3:$M$154,J$9,0),7)</f>
        <v>6.1824021</v>
      </c>
      <c r="K25" s="356">
        <f>ROUND(VLOOKUP($E25,'BDEW-Standard'!$B$3:$M$154,K$9,0),7)</f>
        <v>8.1086000000000005E-2</v>
      </c>
      <c r="L25" s="357">
        <f>ROUND(VLOOKUP($E25,'BDEW-Standard'!$B$3:$M$154,L$9,0),1)</f>
        <v>40</v>
      </c>
      <c r="M25" s="356">
        <f>ROUND(VLOOKUP($E25,'BDEW-Standard'!$B$3:$M$154,M$9,0),7)</f>
        <v>0</v>
      </c>
      <c r="N25" s="356">
        <f>ROUND(VLOOKUP($E25,'BDEW-Standard'!$B$3:$M$154,N$9,0),7)</f>
        <v>0</v>
      </c>
      <c r="O25" s="356">
        <f>ROUND(VLOOKUP($E25,'BDEW-Standard'!$B$3:$M$154,O$9,0),7)</f>
        <v>0</v>
      </c>
      <c r="P25" s="356">
        <f>ROUND(VLOOKUP($E25,'BDEW-Standard'!$B$3:$M$154,P$9,0),7)</f>
        <v>0</v>
      </c>
      <c r="Q25" s="338">
        <f t="shared" si="1"/>
        <v>0.96123311186795624</v>
      </c>
      <c r="R25" s="275">
        <f>ROUND(VLOOKUP(MID($E25,4,3),'Wochentag F(WT)'!$B$7:$J$22,R$9,0),4)</f>
        <v>1</v>
      </c>
      <c r="S25" s="275">
        <f>ROUND(VLOOKUP(MID($E25,4,3),'Wochentag F(WT)'!$B$7:$J$22,S$9,0),4)</f>
        <v>1</v>
      </c>
      <c r="T25" s="275">
        <f>ROUND(VLOOKUP(MID($E25,4,3),'Wochentag F(WT)'!$B$7:$J$22,T$9,0),4)</f>
        <v>1</v>
      </c>
      <c r="U25" s="275">
        <f>ROUND(VLOOKUP(MID($E25,4,3),'Wochentag F(WT)'!$B$7:$J$22,U$9,0),4)</f>
        <v>1</v>
      </c>
      <c r="V25" s="275">
        <f>ROUND(VLOOKUP(MID($E25,4,3),'Wochentag F(WT)'!$B$7:$J$22,V$9,0),4)</f>
        <v>1</v>
      </c>
      <c r="W25" s="275">
        <f>ROUND(VLOOKUP(MID($E25,4,3),'Wochentag F(WT)'!$B$7:$J$22,W$9,0),4)</f>
        <v>1</v>
      </c>
      <c r="X25" s="276">
        <f t="shared" si="2"/>
        <v>1</v>
      </c>
      <c r="Y25" s="293"/>
      <c r="Z25" s="211"/>
    </row>
    <row r="26" spans="2:26" s="143" customFormat="1">
      <c r="B26" s="144">
        <v>15</v>
      </c>
      <c r="C26" s="145" t="str">
        <f t="shared" si="0"/>
        <v>Netz Burgdorf</v>
      </c>
      <c r="D26" s="62" t="s">
        <v>247</v>
      </c>
      <c r="E26" s="166" t="s">
        <v>32</v>
      </c>
      <c r="F26" s="297" t="str">
        <f>VLOOKUP($E26,'BDEW-Standard'!$B$3:$M$154,F$9,0)</f>
        <v>I24</v>
      </c>
      <c r="H26" s="274">
        <f>ROUND(VLOOKUP($E26,'BDEW-Standard'!$B$3:$M$154,H$9,0),7)</f>
        <v>2.529738</v>
      </c>
      <c r="I26" s="356">
        <f>ROUND(VLOOKUP($E26,'BDEW-Standard'!$B$3:$M$154,I$9,0),7)</f>
        <v>-35.0300145</v>
      </c>
      <c r="J26" s="356">
        <f>ROUND(VLOOKUP($E26,'BDEW-Standard'!$B$3:$M$154,J$9,0),7)</f>
        <v>6.2051109000000002</v>
      </c>
      <c r="K26" s="356">
        <f>ROUND(VLOOKUP($E26,'BDEW-Standard'!$B$3:$M$154,K$9,0),7)</f>
        <v>0.1058318</v>
      </c>
      <c r="L26" s="357">
        <f>ROUND(VLOOKUP($E26,'BDEW-Standard'!$B$3:$M$154,L$9,0),1)</f>
        <v>40</v>
      </c>
      <c r="M26" s="356">
        <f>ROUND(VLOOKUP($E26,'BDEW-Standard'!$B$3:$M$154,M$9,0),7)</f>
        <v>0</v>
      </c>
      <c r="N26" s="356">
        <f>ROUND(VLOOKUP($E26,'BDEW-Standard'!$B$3:$M$154,N$9,0),7)</f>
        <v>0</v>
      </c>
      <c r="O26" s="356">
        <f>ROUND(VLOOKUP($E26,'BDEW-Standard'!$B$3:$M$154,O$9,0),7)</f>
        <v>0</v>
      </c>
      <c r="P26" s="356">
        <f>ROUND(VLOOKUP($E26,'BDEW-Standard'!$B$3:$M$154,P$9,0),7)</f>
        <v>0</v>
      </c>
      <c r="Q26" s="338">
        <f t="shared" si="1"/>
        <v>1.0247084991768873</v>
      </c>
      <c r="R26" s="275">
        <f>ROUND(VLOOKUP(MID($E26,4,3),'Wochentag F(WT)'!$B$7:$J$22,R$9,0),4)</f>
        <v>1</v>
      </c>
      <c r="S26" s="275">
        <f>ROUND(VLOOKUP(MID($E26,4,3),'Wochentag F(WT)'!$B$7:$J$22,S$9,0),4)</f>
        <v>1</v>
      </c>
      <c r="T26" s="275">
        <f>ROUND(VLOOKUP(MID($E26,4,3),'Wochentag F(WT)'!$B$7:$J$22,T$9,0),4)</f>
        <v>1</v>
      </c>
      <c r="U26" s="275">
        <f>ROUND(VLOOKUP(MID($E26,4,3),'Wochentag F(WT)'!$B$7:$J$22,U$9,0),4)</f>
        <v>1</v>
      </c>
      <c r="V26" s="275">
        <f>ROUND(VLOOKUP(MID($E26,4,3),'Wochentag F(WT)'!$B$7:$J$22,V$9,0),4)</f>
        <v>1</v>
      </c>
      <c r="W26" s="275">
        <f>ROUND(VLOOKUP(MID($E26,4,3),'Wochentag F(WT)'!$B$7:$J$22,W$9,0),4)</f>
        <v>1</v>
      </c>
      <c r="X26" s="276">
        <f t="shared" si="2"/>
        <v>1</v>
      </c>
      <c r="Y26" s="293"/>
      <c r="Z26" s="211"/>
    </row>
    <row r="27" spans="2:26" s="143" customFormat="1">
      <c r="B27" s="144">
        <v>16</v>
      </c>
      <c r="C27" s="145" t="str">
        <f t="shared" si="0"/>
        <v>Netz Burgdorf</v>
      </c>
      <c r="D27" s="62"/>
      <c r="E27" s="166"/>
      <c r="F27" s="297"/>
      <c r="H27" s="277"/>
      <c r="I27" s="277"/>
      <c r="J27" s="277"/>
      <c r="K27" s="277"/>
      <c r="L27" s="337"/>
      <c r="M27" s="277"/>
      <c r="N27" s="277"/>
      <c r="O27" s="277"/>
      <c r="P27" s="277"/>
      <c r="Q27" s="339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>
      <c r="B28" s="144">
        <v>17</v>
      </c>
      <c r="C28" s="145" t="str">
        <f t="shared" si="0"/>
        <v>Netz Burgdorf</v>
      </c>
      <c r="D28" s="62"/>
      <c r="E28" s="166"/>
      <c r="F28" s="297"/>
      <c r="H28" s="277"/>
      <c r="I28" s="277"/>
      <c r="J28" s="277"/>
      <c r="K28" s="277"/>
      <c r="L28" s="337"/>
      <c r="M28" s="277"/>
      <c r="N28" s="277"/>
      <c r="O28" s="277"/>
      <c r="P28" s="277"/>
      <c r="Q28" s="339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>
      <c r="B29" s="144">
        <v>18</v>
      </c>
      <c r="C29" s="145" t="str">
        <f t="shared" si="0"/>
        <v>Netz Burgdorf</v>
      </c>
      <c r="D29" s="62"/>
      <c r="E29" s="166"/>
      <c r="F29" s="297"/>
      <c r="H29" s="277"/>
      <c r="I29" s="277"/>
      <c r="J29" s="277"/>
      <c r="K29" s="277"/>
      <c r="L29" s="337"/>
      <c r="M29" s="277"/>
      <c r="N29" s="277"/>
      <c r="O29" s="277"/>
      <c r="P29" s="277"/>
      <c r="Q29" s="339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>
      <c r="B30" s="144">
        <v>19</v>
      </c>
      <c r="C30" s="145" t="str">
        <f t="shared" si="0"/>
        <v>Netz Burgdorf</v>
      </c>
      <c r="D30" s="62"/>
      <c r="E30" s="166"/>
      <c r="F30" s="297"/>
      <c r="H30" s="277"/>
      <c r="I30" s="277"/>
      <c r="J30" s="277"/>
      <c r="K30" s="277"/>
      <c r="L30" s="337"/>
      <c r="M30" s="277"/>
      <c r="N30" s="277"/>
      <c r="O30" s="277"/>
      <c r="P30" s="277"/>
      <c r="Q30" s="339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>
      <c r="B31" s="144">
        <v>20</v>
      </c>
      <c r="C31" s="145" t="str">
        <f t="shared" si="0"/>
        <v>Netz Burgdorf</v>
      </c>
      <c r="D31" s="62"/>
      <c r="E31" s="166"/>
      <c r="F31" s="297"/>
      <c r="H31" s="277"/>
      <c r="I31" s="277"/>
      <c r="J31" s="277"/>
      <c r="K31" s="277"/>
      <c r="L31" s="337"/>
      <c r="M31" s="277"/>
      <c r="N31" s="277"/>
      <c r="O31" s="277"/>
      <c r="P31" s="277"/>
      <c r="Q31" s="339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>
      <c r="B32" s="144">
        <v>21</v>
      </c>
      <c r="C32" s="145" t="str">
        <f t="shared" si="0"/>
        <v>Netz Burgdorf</v>
      </c>
      <c r="D32" s="62"/>
      <c r="E32" s="166"/>
      <c r="F32" s="297"/>
      <c r="H32" s="277"/>
      <c r="I32" s="277"/>
      <c r="J32" s="277"/>
      <c r="K32" s="277"/>
      <c r="L32" s="337"/>
      <c r="M32" s="277"/>
      <c r="N32" s="277"/>
      <c r="O32" s="277"/>
      <c r="P32" s="277"/>
      <c r="Q32" s="339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>
      <c r="B33" s="144">
        <v>22</v>
      </c>
      <c r="C33" s="145" t="str">
        <f t="shared" si="0"/>
        <v>Netz Burgdorf</v>
      </c>
      <c r="D33" s="62"/>
      <c r="E33" s="166"/>
      <c r="F33" s="297"/>
      <c r="H33" s="277"/>
      <c r="I33" s="277"/>
      <c r="J33" s="277"/>
      <c r="K33" s="277"/>
      <c r="L33" s="337"/>
      <c r="M33" s="277"/>
      <c r="N33" s="277"/>
      <c r="O33" s="277"/>
      <c r="P33" s="277"/>
      <c r="Q33" s="339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>
      <c r="B34" s="144">
        <v>23</v>
      </c>
      <c r="C34" s="145" t="str">
        <f t="shared" si="0"/>
        <v>Netz Burgdorf</v>
      </c>
      <c r="D34" s="62"/>
      <c r="E34" s="166"/>
      <c r="F34" s="297"/>
      <c r="H34" s="277"/>
      <c r="I34" s="277"/>
      <c r="J34" s="277"/>
      <c r="K34" s="277"/>
      <c r="L34" s="337"/>
      <c r="M34" s="277"/>
      <c r="N34" s="277"/>
      <c r="O34" s="277"/>
      <c r="P34" s="277"/>
      <c r="Q34" s="339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>
      <c r="B35" s="144">
        <v>24</v>
      </c>
      <c r="C35" s="145" t="str">
        <f t="shared" si="0"/>
        <v>Netz Burgdorf</v>
      </c>
      <c r="D35" s="62"/>
      <c r="E35" s="166"/>
      <c r="F35" s="297"/>
      <c r="H35" s="277"/>
      <c r="I35" s="277"/>
      <c r="J35" s="277"/>
      <c r="K35" s="277"/>
      <c r="L35" s="337"/>
      <c r="M35" s="277"/>
      <c r="N35" s="277"/>
      <c r="O35" s="277"/>
      <c r="P35" s="277"/>
      <c r="Q35" s="339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>
      <c r="B36" s="144">
        <v>25</v>
      </c>
      <c r="C36" s="145" t="str">
        <f t="shared" si="0"/>
        <v>Netz Burgdorf</v>
      </c>
      <c r="D36" s="62"/>
      <c r="E36" s="166"/>
      <c r="F36" s="297"/>
      <c r="H36" s="277"/>
      <c r="I36" s="277"/>
      <c r="J36" s="277"/>
      <c r="K36" s="277"/>
      <c r="L36" s="337"/>
      <c r="M36" s="277"/>
      <c r="N36" s="277"/>
      <c r="O36" s="277"/>
      <c r="P36" s="277"/>
      <c r="Q36" s="339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>
      <c r="B37" s="144">
        <v>26</v>
      </c>
      <c r="C37" s="145" t="str">
        <f t="shared" si="0"/>
        <v>Netz Burgdorf</v>
      </c>
      <c r="D37" s="62"/>
      <c r="E37" s="166"/>
      <c r="F37" s="297"/>
      <c r="H37" s="277"/>
      <c r="I37" s="277"/>
      <c r="J37" s="277"/>
      <c r="K37" s="277"/>
      <c r="L37" s="337"/>
      <c r="M37" s="277"/>
      <c r="N37" s="277"/>
      <c r="O37" s="277"/>
      <c r="P37" s="277"/>
      <c r="Q37" s="339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>
      <c r="B38" s="144">
        <v>27</v>
      </c>
      <c r="C38" s="145" t="str">
        <f t="shared" si="0"/>
        <v>Netz Burgdorf</v>
      </c>
      <c r="D38" s="62"/>
      <c r="E38" s="166"/>
      <c r="F38" s="297"/>
      <c r="H38" s="277"/>
      <c r="I38" s="277"/>
      <c r="J38" s="277"/>
      <c r="K38" s="277"/>
      <c r="L38" s="337"/>
      <c r="M38" s="277"/>
      <c r="N38" s="277"/>
      <c r="O38" s="277"/>
      <c r="P38" s="277"/>
      <c r="Q38" s="339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>
      <c r="B39" s="144">
        <v>28</v>
      </c>
      <c r="C39" s="145" t="str">
        <f t="shared" si="0"/>
        <v>Netz Burgdorf</v>
      </c>
      <c r="D39" s="62"/>
      <c r="E39" s="166"/>
      <c r="F39" s="297"/>
      <c r="H39" s="277"/>
      <c r="I39" s="277"/>
      <c r="J39" s="277"/>
      <c r="K39" s="277"/>
      <c r="L39" s="337"/>
      <c r="M39" s="277"/>
      <c r="N39" s="277"/>
      <c r="O39" s="277"/>
      <c r="P39" s="277"/>
      <c r="Q39" s="339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>
      <c r="B40" s="144">
        <v>29</v>
      </c>
      <c r="C40" s="145" t="str">
        <f t="shared" si="0"/>
        <v>Netz Burgdorf</v>
      </c>
      <c r="D40" s="62"/>
      <c r="E40" s="166"/>
      <c r="F40" s="297"/>
      <c r="H40" s="277"/>
      <c r="I40" s="277"/>
      <c r="J40" s="277"/>
      <c r="K40" s="277"/>
      <c r="L40" s="337"/>
      <c r="M40" s="277"/>
      <c r="N40" s="277"/>
      <c r="O40" s="277"/>
      <c r="P40" s="277"/>
      <c r="Q40" s="339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>
      <c r="B41" s="144">
        <v>30</v>
      </c>
      <c r="C41" s="145" t="str">
        <f t="shared" si="0"/>
        <v>Netz Burgdorf</v>
      </c>
      <c r="D41" s="62"/>
      <c r="E41" s="166"/>
      <c r="F41" s="297"/>
      <c r="H41" s="277"/>
      <c r="I41" s="277"/>
      <c r="J41" s="277"/>
      <c r="K41" s="277"/>
      <c r="L41" s="337"/>
      <c r="M41" s="277"/>
      <c r="N41" s="277"/>
      <c r="O41" s="277"/>
      <c r="P41" s="277"/>
      <c r="Q41" s="339"/>
      <c r="R41" s="278"/>
      <c r="S41" s="278"/>
      <c r="T41" s="278"/>
      <c r="U41" s="278"/>
      <c r="V41" s="278"/>
      <c r="W41" s="278"/>
      <c r="X41" s="279"/>
      <c r="Y41" s="29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M11:P41 R11:Y41 F11:F41 H11:K41 L25:P26">
    <cfRule type="expression" dxfId="4" priority="11">
      <formula>ISERROR(F11)</formula>
    </cfRule>
  </conditionalFormatting>
  <conditionalFormatting sqref="Y12:Y41 E12:F41">
    <cfRule type="duplicateValues" dxfId="9" priority="33"/>
  </conditionalFormatting>
  <conditionalFormatting sqref="L11:L41">
    <cfRule type="expression" dxfId="3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5:F18 H12:K24 C13:C33 C34:C41 M12:X24 F22:F23 R26:X26 R25:X25" unlockedFormula="1"/>
    <ignoredError sqref="L12:L24" formula="1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>
    <tabColor rgb="FF00B050"/>
    <pageSetUpPr fitToPage="1"/>
  </sheetPr>
  <dimension ref="A1:AE35"/>
  <sheetViews>
    <sheetView showGridLines="0" topLeftCell="A4" zoomScale="80" zoomScaleNormal="80" workbookViewId="0">
      <selection activeCell="J18" sqref="J18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450</v>
      </c>
    </row>
    <row r="3" spans="2:30" ht="15" customHeight="1">
      <c r="B3" s="84"/>
    </row>
    <row r="4" spans="2:30" ht="15" customHeight="1">
      <c r="B4" s="85" t="s">
        <v>449</v>
      </c>
      <c r="C4" s="63" t="str">
        <f>Netzbetreiber!$D$9</f>
        <v>Stadtwerke Burgdorf Netz GmbH</v>
      </c>
      <c r="D4" s="76"/>
      <c r="G4" s="76"/>
      <c r="I4" s="76"/>
      <c r="J4" s="77"/>
      <c r="M4" s="86" t="s">
        <v>542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448</v>
      </c>
      <c r="C5" s="64" t="str">
        <f>Netzbetreiber!$D$28</f>
        <v>Netz Burgdorf</v>
      </c>
      <c r="D5" s="37"/>
      <c r="E5" s="76"/>
      <c r="F5" s="76"/>
      <c r="G5" s="76"/>
      <c r="I5" s="76"/>
      <c r="J5" s="76"/>
      <c r="K5" s="76"/>
      <c r="L5" s="76"/>
      <c r="M5" s="88" t="s">
        <v>511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446</v>
      </c>
      <c r="C6" s="63" t="str">
        <f>Netzbetreiber!$D$11</f>
        <v>98701054000004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42675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3" t="s">
        <v>462</v>
      </c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5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471</v>
      </c>
      <c r="N9" s="91" t="s">
        <v>373</v>
      </c>
      <c r="O9" s="92" t="s">
        <v>374</v>
      </c>
      <c r="P9" s="92" t="s">
        <v>375</v>
      </c>
      <c r="Q9" s="92" t="s">
        <v>376</v>
      </c>
      <c r="R9" s="92" t="s">
        <v>377</v>
      </c>
      <c r="S9" s="92" t="s">
        <v>378</v>
      </c>
      <c r="T9" s="92" t="s">
        <v>379</v>
      </c>
      <c r="U9" s="92" t="s">
        <v>380</v>
      </c>
      <c r="V9" s="92" t="s">
        <v>381</v>
      </c>
      <c r="W9" s="92" t="s">
        <v>382</v>
      </c>
      <c r="X9" s="92" t="s">
        <v>383</v>
      </c>
      <c r="Y9" s="92" t="s">
        <v>384</v>
      </c>
      <c r="Z9" s="92" t="s">
        <v>385</v>
      </c>
      <c r="AA9" s="92" t="s">
        <v>386</v>
      </c>
      <c r="AB9" s="92" t="s">
        <v>387</v>
      </c>
      <c r="AC9" s="93" t="s">
        <v>388</v>
      </c>
      <c r="AD9" s="93" t="s">
        <v>430</v>
      </c>
    </row>
    <row r="10" spans="2:30" ht="72" customHeight="1" thickBot="1">
      <c r="B10" s="348" t="s">
        <v>586</v>
      </c>
      <c r="C10" s="349"/>
      <c r="D10" s="94">
        <v>2</v>
      </c>
      <c r="E10" s="95" t="str">
        <f>IF(ISERROR(HLOOKUP(E$11,$M$9:$AD$33,$D10,0)),"",HLOOKUP(E$11,$M$9:$AD$33,$D10,0))</f>
        <v xml:space="preserve">Nieder-sachsen  </v>
      </c>
      <c r="F10" s="346" t="s">
        <v>399</v>
      </c>
      <c r="G10" s="346"/>
      <c r="H10" s="346"/>
      <c r="I10" s="346"/>
      <c r="J10" s="346"/>
      <c r="K10" s="346"/>
      <c r="L10" s="347"/>
      <c r="M10" s="96" t="s">
        <v>472</v>
      </c>
      <c r="N10" s="97" t="s">
        <v>473</v>
      </c>
      <c r="O10" s="98" t="s">
        <v>474</v>
      </c>
      <c r="P10" s="99" t="s">
        <v>475</v>
      </c>
      <c r="Q10" s="99" t="s">
        <v>476</v>
      </c>
      <c r="R10" s="99" t="s">
        <v>477</v>
      </c>
      <c r="S10" s="99" t="s">
        <v>478</v>
      </c>
      <c r="T10" s="99" t="s">
        <v>479</v>
      </c>
      <c r="U10" s="99" t="s">
        <v>480</v>
      </c>
      <c r="V10" s="99" t="s">
        <v>481</v>
      </c>
      <c r="W10" s="99" t="s">
        <v>482</v>
      </c>
      <c r="X10" s="99" t="s">
        <v>483</v>
      </c>
      <c r="Y10" s="99" t="s">
        <v>484</v>
      </c>
      <c r="Z10" s="99" t="s">
        <v>485</v>
      </c>
      <c r="AA10" s="99" t="s">
        <v>486</v>
      </c>
      <c r="AB10" s="99" t="s">
        <v>487</v>
      </c>
      <c r="AC10" s="100" t="s">
        <v>488</v>
      </c>
      <c r="AD10" s="101" t="s">
        <v>431</v>
      </c>
    </row>
    <row r="11" spans="2:30" ht="15.75" thickBot="1">
      <c r="B11" s="102" t="s">
        <v>422</v>
      </c>
      <c r="C11" s="103"/>
      <c r="D11" s="104">
        <v>3</v>
      </c>
      <c r="E11" s="105" t="s">
        <v>678</v>
      </c>
      <c r="F11" s="106" t="s">
        <v>390</v>
      </c>
      <c r="G11" s="107" t="s">
        <v>391</v>
      </c>
      <c r="H11" s="107" t="s">
        <v>392</v>
      </c>
      <c r="I11" s="107" t="s">
        <v>393</v>
      </c>
      <c r="J11" s="107" t="s">
        <v>394</v>
      </c>
      <c r="K11" s="107" t="s">
        <v>395</v>
      </c>
      <c r="L11" s="108" t="s">
        <v>396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400</v>
      </c>
      <c r="C12" s="110"/>
      <c r="D12" s="111">
        <v>4</v>
      </c>
      <c r="E12" s="304">
        <f>MIN(SUMPRODUCT($M$11:$AD$11,M12:AD12),1)</f>
        <v>1</v>
      </c>
      <c r="F12" s="301" t="s">
        <v>396</v>
      </c>
      <c r="G12" s="78" t="s">
        <v>396</v>
      </c>
      <c r="H12" s="78" t="s">
        <v>396</v>
      </c>
      <c r="I12" s="78" t="s">
        <v>396</v>
      </c>
      <c r="J12" s="78" t="s">
        <v>396</v>
      </c>
      <c r="K12" s="78" t="s">
        <v>396</v>
      </c>
      <c r="L12" s="79" t="s">
        <v>396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401</v>
      </c>
      <c r="C13" s="117"/>
      <c r="D13" s="111">
        <v>5</v>
      </c>
      <c r="E13" s="305">
        <f t="shared" ref="E13:E33" si="0">MIN(SUMPRODUCT($M$11:$AD$11,M13:AD13),1)</f>
        <v>0</v>
      </c>
      <c r="F13" s="302" t="s">
        <v>396</v>
      </c>
      <c r="G13" s="80" t="s">
        <v>396</v>
      </c>
      <c r="H13" s="80" t="s">
        <v>396</v>
      </c>
      <c r="I13" s="80" t="s">
        <v>396</v>
      </c>
      <c r="J13" s="80" t="s">
        <v>396</v>
      </c>
      <c r="K13" s="80" t="s">
        <v>396</v>
      </c>
      <c r="L13" s="81" t="s">
        <v>396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402</v>
      </c>
      <c r="C14" s="117"/>
      <c r="D14" s="111">
        <v>6</v>
      </c>
      <c r="E14" s="305">
        <f t="shared" si="0"/>
        <v>0</v>
      </c>
      <c r="F14" s="302" t="s">
        <v>396</v>
      </c>
      <c r="G14" s="80" t="s">
        <v>403</v>
      </c>
      <c r="H14" s="80" t="s">
        <v>403</v>
      </c>
      <c r="I14" s="80" t="s">
        <v>403</v>
      </c>
      <c r="J14" s="80" t="s">
        <v>403</v>
      </c>
      <c r="K14" s="80" t="s">
        <v>403</v>
      </c>
      <c r="L14" s="81" t="s">
        <v>403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404</v>
      </c>
      <c r="C15" s="117"/>
      <c r="D15" s="111">
        <v>7</v>
      </c>
      <c r="E15" s="305">
        <f t="shared" si="0"/>
        <v>0</v>
      </c>
      <c r="F15" s="302" t="s">
        <v>403</v>
      </c>
      <c r="G15" s="80" t="s">
        <v>395</v>
      </c>
      <c r="H15" s="80" t="s">
        <v>403</v>
      </c>
      <c r="I15" s="80" t="s">
        <v>403</v>
      </c>
      <c r="J15" s="80" t="s">
        <v>403</v>
      </c>
      <c r="K15" s="80" t="s">
        <v>403</v>
      </c>
      <c r="L15" s="81" t="s">
        <v>403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416</v>
      </c>
      <c r="C16" s="117"/>
      <c r="D16" s="111">
        <v>8</v>
      </c>
      <c r="E16" s="305">
        <f t="shared" si="0"/>
        <v>1</v>
      </c>
      <c r="F16" s="302" t="s">
        <v>403</v>
      </c>
      <c r="G16" s="80" t="s">
        <v>403</v>
      </c>
      <c r="H16" s="80" t="s">
        <v>403</v>
      </c>
      <c r="I16" s="80" t="s">
        <v>403</v>
      </c>
      <c r="J16" s="80" t="s">
        <v>396</v>
      </c>
      <c r="K16" s="80" t="s">
        <v>403</v>
      </c>
      <c r="L16" s="81" t="s">
        <v>403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417</v>
      </c>
      <c r="C17" s="117"/>
      <c r="D17" s="111">
        <v>9</v>
      </c>
      <c r="E17" s="305">
        <f t="shared" si="0"/>
        <v>1</v>
      </c>
      <c r="F17" s="302" t="s">
        <v>403</v>
      </c>
      <c r="G17" s="80" t="s">
        <v>403</v>
      </c>
      <c r="H17" s="80" t="s">
        <v>403</v>
      </c>
      <c r="I17" s="80" t="s">
        <v>403</v>
      </c>
      <c r="J17" s="80" t="s">
        <v>403</v>
      </c>
      <c r="K17" s="80" t="s">
        <v>403</v>
      </c>
      <c r="L17" s="81" t="s">
        <v>396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418</v>
      </c>
      <c r="C18" s="117"/>
      <c r="D18" s="111">
        <v>10</v>
      </c>
      <c r="E18" s="305">
        <f t="shared" si="0"/>
        <v>1</v>
      </c>
      <c r="F18" s="302" t="s">
        <v>396</v>
      </c>
      <c r="G18" s="80" t="s">
        <v>403</v>
      </c>
      <c r="H18" s="80" t="s">
        <v>403</v>
      </c>
      <c r="I18" s="80" t="s">
        <v>403</v>
      </c>
      <c r="J18" s="80" t="s">
        <v>403</v>
      </c>
      <c r="K18" s="80" t="s">
        <v>403</v>
      </c>
      <c r="L18" s="81" t="s">
        <v>403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405</v>
      </c>
      <c r="C19" s="117"/>
      <c r="D19" s="111">
        <v>11</v>
      </c>
      <c r="E19" s="305">
        <f t="shared" si="0"/>
        <v>1</v>
      </c>
      <c r="F19" s="302" t="s">
        <v>396</v>
      </c>
      <c r="G19" s="80" t="s">
        <v>396</v>
      </c>
      <c r="H19" s="80" t="s">
        <v>396</v>
      </c>
      <c r="I19" s="80" t="s">
        <v>396</v>
      </c>
      <c r="J19" s="80" t="s">
        <v>396</v>
      </c>
      <c r="K19" s="80" t="s">
        <v>396</v>
      </c>
      <c r="L19" s="81" t="s">
        <v>396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652</v>
      </c>
      <c r="C20" s="117"/>
      <c r="D20" s="111">
        <v>12</v>
      </c>
      <c r="E20" s="305">
        <f t="shared" si="0"/>
        <v>1</v>
      </c>
      <c r="F20" s="302" t="s">
        <v>403</v>
      </c>
      <c r="G20" s="80" t="s">
        <v>403</v>
      </c>
      <c r="H20" s="80" t="s">
        <v>403</v>
      </c>
      <c r="I20" s="80" t="s">
        <v>396</v>
      </c>
      <c r="J20" s="80" t="s">
        <v>403</v>
      </c>
      <c r="K20" s="80" t="s">
        <v>403</v>
      </c>
      <c r="L20" s="81" t="s">
        <v>403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419</v>
      </c>
      <c r="C21" s="117"/>
      <c r="D21" s="111">
        <v>13</v>
      </c>
      <c r="E21" s="305">
        <f t="shared" si="0"/>
        <v>1</v>
      </c>
      <c r="F21" s="302" t="s">
        <v>403</v>
      </c>
      <c r="G21" s="80" t="s">
        <v>403</v>
      </c>
      <c r="H21" s="80" t="s">
        <v>403</v>
      </c>
      <c r="I21" s="80" t="s">
        <v>403</v>
      </c>
      <c r="J21" s="80" t="s">
        <v>403</v>
      </c>
      <c r="K21" s="80" t="s">
        <v>403</v>
      </c>
      <c r="L21" s="81" t="s">
        <v>396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420</v>
      </c>
      <c r="C22" s="117"/>
      <c r="D22" s="111">
        <v>14</v>
      </c>
      <c r="E22" s="305">
        <f t="shared" si="0"/>
        <v>1</v>
      </c>
      <c r="F22" s="302" t="s">
        <v>396</v>
      </c>
      <c r="G22" s="80" t="s">
        <v>403</v>
      </c>
      <c r="H22" s="80" t="s">
        <v>403</v>
      </c>
      <c r="I22" s="80" t="s">
        <v>403</v>
      </c>
      <c r="J22" s="80" t="s">
        <v>403</v>
      </c>
      <c r="K22" s="80" t="s">
        <v>403</v>
      </c>
      <c r="L22" s="81" t="s">
        <v>403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421</v>
      </c>
      <c r="C23" s="117"/>
      <c r="D23" s="111">
        <v>15</v>
      </c>
      <c r="E23" s="305">
        <f t="shared" si="0"/>
        <v>0</v>
      </c>
      <c r="F23" s="302" t="s">
        <v>403</v>
      </c>
      <c r="G23" s="80" t="s">
        <v>403</v>
      </c>
      <c r="H23" s="80" t="s">
        <v>403</v>
      </c>
      <c r="I23" s="80" t="s">
        <v>396</v>
      </c>
      <c r="J23" s="80" t="s">
        <v>403</v>
      </c>
      <c r="K23" s="80" t="s">
        <v>403</v>
      </c>
      <c r="L23" s="81" t="s">
        <v>403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406</v>
      </c>
      <c r="C24" s="117"/>
      <c r="D24" s="111">
        <v>16</v>
      </c>
      <c r="E24" s="305">
        <f t="shared" si="0"/>
        <v>0</v>
      </c>
      <c r="F24" s="302" t="s">
        <v>396</v>
      </c>
      <c r="G24" s="80" t="s">
        <v>396</v>
      </c>
      <c r="H24" s="80" t="s">
        <v>396</v>
      </c>
      <c r="I24" s="80" t="s">
        <v>396</v>
      </c>
      <c r="J24" s="80" t="s">
        <v>396</v>
      </c>
      <c r="K24" s="80" t="s">
        <v>396</v>
      </c>
      <c r="L24" s="81" t="s">
        <v>396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407</v>
      </c>
      <c r="C25" s="117"/>
      <c r="D25" s="111">
        <v>17</v>
      </c>
      <c r="E25" s="305">
        <f t="shared" si="0"/>
        <v>0</v>
      </c>
      <c r="F25" s="302" t="s">
        <v>396</v>
      </c>
      <c r="G25" s="80" t="s">
        <v>396</v>
      </c>
      <c r="H25" s="80" t="s">
        <v>396</v>
      </c>
      <c r="I25" s="80" t="s">
        <v>396</v>
      </c>
      <c r="J25" s="80" t="s">
        <v>396</v>
      </c>
      <c r="K25" s="80" t="s">
        <v>396</v>
      </c>
      <c r="L25" s="81" t="s">
        <v>396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408</v>
      </c>
      <c r="C26" s="117"/>
      <c r="D26" s="111">
        <v>18</v>
      </c>
      <c r="E26" s="305">
        <f t="shared" si="0"/>
        <v>1</v>
      </c>
      <c r="F26" s="302" t="s">
        <v>396</v>
      </c>
      <c r="G26" s="80" t="s">
        <v>396</v>
      </c>
      <c r="H26" s="80" t="s">
        <v>396</v>
      </c>
      <c r="I26" s="80" t="s">
        <v>396</v>
      </c>
      <c r="J26" s="80" t="s">
        <v>396</v>
      </c>
      <c r="K26" s="80" t="s">
        <v>396</v>
      </c>
      <c r="L26" s="81" t="s">
        <v>396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409</v>
      </c>
      <c r="C27" s="117"/>
      <c r="D27" s="111">
        <v>19</v>
      </c>
      <c r="E27" s="305">
        <f t="shared" si="0"/>
        <v>0</v>
      </c>
      <c r="F27" s="302" t="s">
        <v>396</v>
      </c>
      <c r="G27" s="80" t="s">
        <v>396</v>
      </c>
      <c r="H27" s="80" t="s">
        <v>396</v>
      </c>
      <c r="I27" s="80" t="s">
        <v>396</v>
      </c>
      <c r="J27" s="80" t="s">
        <v>396</v>
      </c>
      <c r="K27" s="80" t="s">
        <v>396</v>
      </c>
      <c r="L27" s="81" t="s">
        <v>396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410</v>
      </c>
      <c r="C28" s="117"/>
      <c r="D28" s="111">
        <v>20</v>
      </c>
      <c r="E28" s="305">
        <f t="shared" si="0"/>
        <v>0</v>
      </c>
      <c r="F28" s="302" t="s">
        <v>396</v>
      </c>
      <c r="G28" s="80" t="s">
        <v>396</v>
      </c>
      <c r="H28" s="80" t="s">
        <v>396</v>
      </c>
      <c r="I28" s="80" t="s">
        <v>396</v>
      </c>
      <c r="J28" s="80" t="s">
        <v>396</v>
      </c>
      <c r="K28" s="80" t="s">
        <v>396</v>
      </c>
      <c r="L28" s="81" t="s">
        <v>396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411</v>
      </c>
      <c r="C29" s="117"/>
      <c r="D29" s="111">
        <v>21</v>
      </c>
      <c r="E29" s="305">
        <f t="shared" si="0"/>
        <v>0</v>
      </c>
      <c r="F29" s="302" t="s">
        <v>403</v>
      </c>
      <c r="G29" s="80" t="s">
        <v>403</v>
      </c>
      <c r="H29" s="80" t="s">
        <v>396</v>
      </c>
      <c r="I29" s="80" t="s">
        <v>403</v>
      </c>
      <c r="J29" s="80" t="s">
        <v>403</v>
      </c>
      <c r="K29" s="80" t="s">
        <v>403</v>
      </c>
      <c r="L29" s="81" t="s">
        <v>403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412</v>
      </c>
      <c r="C30" s="117"/>
      <c r="D30" s="111">
        <v>22</v>
      </c>
      <c r="E30" s="305">
        <f t="shared" si="0"/>
        <v>0</v>
      </c>
      <c r="F30" s="302" t="s">
        <v>395</v>
      </c>
      <c r="G30" s="80" t="s">
        <v>395</v>
      </c>
      <c r="H30" s="80" t="s">
        <v>395</v>
      </c>
      <c r="I30" s="80" t="s">
        <v>395</v>
      </c>
      <c r="J30" s="80" t="s">
        <v>395</v>
      </c>
      <c r="K30" s="80" t="s">
        <v>395</v>
      </c>
      <c r="L30" s="81" t="s">
        <v>396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413</v>
      </c>
      <c r="C31" s="117"/>
      <c r="D31" s="111">
        <v>23</v>
      </c>
      <c r="E31" s="305">
        <f t="shared" si="0"/>
        <v>1</v>
      </c>
      <c r="F31" s="302" t="s">
        <v>396</v>
      </c>
      <c r="G31" s="80" t="s">
        <v>396</v>
      </c>
      <c r="H31" s="80" t="s">
        <v>396</v>
      </c>
      <c r="I31" s="80" t="s">
        <v>396</v>
      </c>
      <c r="J31" s="80" t="s">
        <v>396</v>
      </c>
      <c r="K31" s="80" t="s">
        <v>396</v>
      </c>
      <c r="L31" s="81" t="s">
        <v>396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414</v>
      </c>
      <c r="C32" s="117"/>
      <c r="D32" s="111">
        <v>24</v>
      </c>
      <c r="E32" s="305">
        <f t="shared" si="0"/>
        <v>1</v>
      </c>
      <c r="F32" s="302" t="s">
        <v>396</v>
      </c>
      <c r="G32" s="80" t="s">
        <v>396</v>
      </c>
      <c r="H32" s="80" t="s">
        <v>396</v>
      </c>
      <c r="I32" s="80" t="s">
        <v>396</v>
      </c>
      <c r="J32" s="80" t="s">
        <v>396</v>
      </c>
      <c r="K32" s="80" t="s">
        <v>396</v>
      </c>
      <c r="L32" s="81" t="s">
        <v>396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415</v>
      </c>
      <c r="C33" s="123"/>
      <c r="D33" s="124">
        <v>25</v>
      </c>
      <c r="E33" s="306">
        <f t="shared" si="0"/>
        <v>0</v>
      </c>
      <c r="F33" s="303" t="s">
        <v>395</v>
      </c>
      <c r="G33" s="82" t="s">
        <v>395</v>
      </c>
      <c r="H33" s="82" t="s">
        <v>395</v>
      </c>
      <c r="I33" s="82" t="s">
        <v>395</v>
      </c>
      <c r="J33" s="82" t="s">
        <v>395</v>
      </c>
      <c r="K33" s="82" t="s">
        <v>395</v>
      </c>
      <c r="L33" s="83" t="s">
        <v>396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15" priority="9">
      <formula>IF(E$11="NB",1,0)</formula>
    </cfRule>
  </conditionalFormatting>
  <conditionalFormatting sqref="F12:L33">
    <cfRule type="expression" dxfId="14" priority="6">
      <formula>IF($E12=1,1,0)</formula>
    </cfRule>
  </conditionalFormatting>
  <conditionalFormatting sqref="M12:AD33">
    <cfRule type="expression" dxfId="13" priority="3">
      <formula>IF(M$11=1,1)</formula>
    </cfRule>
  </conditionalFormatting>
  <conditionalFormatting sqref="M9:AD10">
    <cfRule type="expression" dxfId="1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>
    <tabColor rgb="FFC00000"/>
  </sheetPr>
  <dimension ref="A1:N158"/>
  <sheetViews>
    <sheetView showGridLines="0" topLeftCell="A120" zoomScale="80" zoomScaleNormal="80" workbookViewId="0">
      <selection activeCell="B130" sqref="B130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2" t="s">
        <v>348</v>
      </c>
      <c r="B1" s="213">
        <v>42173</v>
      </c>
      <c r="D1" s="131" t="s">
        <v>458</v>
      </c>
      <c r="F1" s="214" t="s">
        <v>548</v>
      </c>
      <c r="N1" s="215"/>
    </row>
    <row r="2" spans="1:14" ht="25.5">
      <c r="A2" s="216" t="s">
        <v>271</v>
      </c>
      <c r="B2" s="217" t="s">
        <v>146</v>
      </c>
      <c r="C2" s="218" t="s">
        <v>148</v>
      </c>
      <c r="D2" s="219" t="s">
        <v>149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70</v>
      </c>
      <c r="J2" s="220" t="s">
        <v>150</v>
      </c>
      <c r="K2" s="220" t="s">
        <v>151</v>
      </c>
      <c r="L2" s="220" t="s">
        <v>152</v>
      </c>
      <c r="M2" s="222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153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154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155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156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157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158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159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160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161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162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4" t="s">
        <v>655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163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164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165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166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167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168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169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170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171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172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173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174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175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176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177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178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179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180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181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182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183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184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185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186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187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188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189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190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191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192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193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194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195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196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197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198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199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200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201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202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203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204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205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206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207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208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209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210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211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212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213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214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215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216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217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218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219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220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221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222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223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224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225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226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227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228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229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230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231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232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233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234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235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236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237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238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239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240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241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242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.7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243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2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245</v>
      </c>
      <c r="B96" s="128" t="s">
        <v>55</v>
      </c>
      <c r="C96" s="128" t="s">
        <v>322</v>
      </c>
      <c r="D96" s="232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245</v>
      </c>
      <c r="B97" s="128" t="s">
        <v>60</v>
      </c>
      <c r="C97" s="128" t="s">
        <v>327</v>
      </c>
      <c r="D97" s="232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245</v>
      </c>
      <c r="B98" s="128" t="s">
        <v>65</v>
      </c>
      <c r="C98" s="128" t="s">
        <v>332</v>
      </c>
      <c r="D98" s="232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245</v>
      </c>
      <c r="B99" s="128" t="s">
        <v>18</v>
      </c>
      <c r="C99" s="128" t="s">
        <v>285</v>
      </c>
      <c r="D99" s="232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2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2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2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2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2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2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2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2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2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2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2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2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2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2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2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2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2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2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2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2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2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2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2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2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2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2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2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2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2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2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2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2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2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2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2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2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2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2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2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2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2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2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2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2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2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2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2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2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2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2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2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2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2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2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2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2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2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2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2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4" customWidth="1"/>
    <col min="2" max="2" width="7" style="255" customWidth="1"/>
    <col min="3" max="3" width="27.7109375" style="234" customWidth="1"/>
    <col min="4" max="10" width="8.85546875" style="234" customWidth="1"/>
    <col min="11" max="14" width="11.42578125" style="234" customWidth="1"/>
    <col min="15" max="15" width="12.28515625" style="128" customWidth="1"/>
    <col min="16" max="16" width="16.5703125" style="234" customWidth="1"/>
    <col min="17" max="16384" width="11.42578125" style="234"/>
  </cols>
  <sheetData>
    <row r="1" spans="1:16" s="233" customFormat="1">
      <c r="A1" s="131" t="s">
        <v>459</v>
      </c>
      <c r="B1" s="128"/>
      <c r="D1" s="214" t="s">
        <v>548</v>
      </c>
    </row>
    <row r="2" spans="1:16">
      <c r="A2" s="234"/>
      <c r="B2" s="233" t="s">
        <v>460</v>
      </c>
    </row>
    <row r="3" spans="1:16" ht="20.100000000000001" customHeight="1">
      <c r="A3" s="350" t="s">
        <v>248</v>
      </c>
      <c r="B3" s="235" t="s">
        <v>86</v>
      </c>
      <c r="C3" s="236"/>
      <c r="D3" s="352" t="s">
        <v>461</v>
      </c>
      <c r="E3" s="353"/>
      <c r="F3" s="353"/>
      <c r="G3" s="353"/>
      <c r="H3" s="353"/>
      <c r="I3" s="353"/>
      <c r="J3" s="354"/>
      <c r="K3" s="237"/>
      <c r="L3" s="237"/>
      <c r="M3" s="237"/>
      <c r="N3" s="237"/>
      <c r="O3" s="238"/>
      <c r="P3" s="237"/>
    </row>
    <row r="4" spans="1:16" ht="20.100000000000001" customHeight="1">
      <c r="A4" s="351"/>
      <c r="B4" s="239"/>
      <c r="C4" s="240"/>
      <c r="D4" s="241" t="s">
        <v>87</v>
      </c>
      <c r="E4" s="241" t="s">
        <v>88</v>
      </c>
      <c r="F4" s="241" t="s">
        <v>89</v>
      </c>
      <c r="G4" s="241" t="s">
        <v>90</v>
      </c>
      <c r="H4" s="241" t="s">
        <v>91</v>
      </c>
      <c r="I4" s="241" t="s">
        <v>92</v>
      </c>
      <c r="J4" s="241" t="s">
        <v>93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94</v>
      </c>
      <c r="C5" s="240"/>
      <c r="D5" s="241" t="s">
        <v>95</v>
      </c>
      <c r="E5" s="241" t="s">
        <v>96</v>
      </c>
      <c r="F5" s="241" t="s">
        <v>97</v>
      </c>
      <c r="G5" s="241" t="s">
        <v>98</v>
      </c>
      <c r="H5" s="241" t="s">
        <v>99</v>
      </c>
      <c r="I5" s="241" t="s">
        <v>100</v>
      </c>
      <c r="J5" s="241" t="s">
        <v>101</v>
      </c>
      <c r="K5" s="241" t="s">
        <v>102</v>
      </c>
      <c r="L5" s="242" t="s">
        <v>103</v>
      </c>
      <c r="M5" s="242" t="s">
        <v>104</v>
      </c>
      <c r="N5" s="244" t="s">
        <v>147</v>
      </c>
      <c r="O5" s="244" t="s">
        <v>250</v>
      </c>
      <c r="P5" s="245" t="s">
        <v>249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105</v>
      </c>
      <c r="C7" s="249" t="s">
        <v>106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102</v>
      </c>
      <c r="M7" s="251">
        <f t="shared" ref="M7:M21" si="0">MAX(D7:J7)</f>
        <v>1</v>
      </c>
      <c r="N7" s="252" t="s">
        <v>369</v>
      </c>
      <c r="O7" s="247"/>
      <c r="P7" s="241"/>
    </row>
    <row r="8" spans="1:16" ht="21" customHeight="1">
      <c r="A8" s="248">
        <v>2</v>
      </c>
      <c r="B8" s="241" t="s">
        <v>107</v>
      </c>
      <c r="C8" s="249" t="s">
        <v>108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102</v>
      </c>
      <c r="M8" s="251">
        <f t="shared" si="0"/>
        <v>1</v>
      </c>
      <c r="N8" s="252" t="s">
        <v>369</v>
      </c>
      <c r="O8" s="247"/>
      <c r="P8" s="241"/>
    </row>
    <row r="9" spans="1:16" ht="21" customHeight="1">
      <c r="A9" s="248">
        <v>3</v>
      </c>
      <c r="B9" s="241" t="s">
        <v>246</v>
      </c>
      <c r="C9" s="253" t="s">
        <v>5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102</v>
      </c>
      <c r="M9" s="251">
        <f t="shared" ref="M9" si="1">MAX(D9:J9)</f>
        <v>1</v>
      </c>
      <c r="N9" s="252" t="s">
        <v>5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109</v>
      </c>
      <c r="C11" s="257" t="s">
        <v>110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96</v>
      </c>
      <c r="M11" s="251">
        <f t="shared" si="0"/>
        <v>1.0522626697461936</v>
      </c>
      <c r="N11" s="252" t="s">
        <v>253</v>
      </c>
      <c r="O11" s="247" t="s">
        <v>251</v>
      </c>
      <c r="P11" s="241"/>
    </row>
    <row r="12" spans="1:16">
      <c r="A12" s="248">
        <v>5</v>
      </c>
      <c r="B12" s="241" t="s">
        <v>111</v>
      </c>
      <c r="C12" s="257" t="s">
        <v>112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95</v>
      </c>
      <c r="M12" s="251">
        <f t="shared" si="0"/>
        <v>1.0358469949391176</v>
      </c>
      <c r="N12" s="252" t="s">
        <v>253</v>
      </c>
      <c r="O12" s="247" t="s">
        <v>251</v>
      </c>
      <c r="P12" s="241"/>
    </row>
    <row r="13" spans="1:16">
      <c r="A13" s="248">
        <v>6</v>
      </c>
      <c r="B13" s="241" t="s">
        <v>113</v>
      </c>
      <c r="C13" s="257" t="s">
        <v>114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95</v>
      </c>
      <c r="M13" s="251">
        <f t="shared" si="0"/>
        <v>1.069856584592316</v>
      </c>
      <c r="N13" s="252" t="s">
        <v>253</v>
      </c>
      <c r="O13" s="247" t="s">
        <v>251</v>
      </c>
      <c r="P13" s="241"/>
    </row>
    <row r="14" spans="1:16" ht="21" customHeight="1">
      <c r="A14" s="248">
        <v>7</v>
      </c>
      <c r="B14" s="241" t="s">
        <v>115</v>
      </c>
      <c r="C14" s="257" t="s">
        <v>116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95</v>
      </c>
      <c r="M14" s="251">
        <f t="shared" si="0"/>
        <v>1.1052461688999999</v>
      </c>
      <c r="N14" s="252" t="s">
        <v>253</v>
      </c>
      <c r="O14" s="247" t="s">
        <v>251</v>
      </c>
      <c r="P14" s="241"/>
    </row>
    <row r="15" spans="1:16" ht="21" customHeight="1">
      <c r="A15" s="248">
        <v>8</v>
      </c>
      <c r="B15" s="241" t="s">
        <v>117</v>
      </c>
      <c r="C15" s="257" t="s">
        <v>118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96</v>
      </c>
      <c r="M15" s="251">
        <f t="shared" si="0"/>
        <v>1.0389446761000001</v>
      </c>
      <c r="N15" s="252" t="s">
        <v>253</v>
      </c>
      <c r="O15" s="247" t="s">
        <v>251</v>
      </c>
      <c r="P15" s="241"/>
    </row>
    <row r="16" spans="1:16" ht="21" customHeight="1">
      <c r="A16" s="248">
        <v>9</v>
      </c>
      <c r="B16" s="241" t="s">
        <v>123</v>
      </c>
      <c r="C16" s="257" t="s">
        <v>124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97</v>
      </c>
      <c r="M16" s="251">
        <f>MAX(D16:J16)</f>
        <v>1.2706602107</v>
      </c>
      <c r="N16" s="252" t="s">
        <v>253</v>
      </c>
      <c r="O16" s="247" t="s">
        <v>251</v>
      </c>
      <c r="P16" s="241"/>
    </row>
    <row r="17" spans="1:16" ht="21" customHeight="1">
      <c r="A17" s="248">
        <v>10</v>
      </c>
      <c r="B17" s="241" t="s">
        <v>119</v>
      </c>
      <c r="C17" s="258" t="s">
        <v>120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100</v>
      </c>
      <c r="M17" s="251">
        <f t="shared" si="0"/>
        <v>1.0355882019</v>
      </c>
      <c r="N17" s="252" t="s">
        <v>253</v>
      </c>
      <c r="O17" s="247" t="s">
        <v>252</v>
      </c>
      <c r="P17" s="241" t="s">
        <v>117</v>
      </c>
    </row>
    <row r="18" spans="1:16" ht="21" customHeight="1">
      <c r="A18" s="248">
        <v>11</v>
      </c>
      <c r="B18" s="241" t="s">
        <v>121</v>
      </c>
      <c r="C18" s="258" t="s">
        <v>122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99</v>
      </c>
      <c r="M18" s="251">
        <f t="shared" si="0"/>
        <v>1.1401797148999999</v>
      </c>
      <c r="N18" s="252" t="s">
        <v>253</v>
      </c>
      <c r="O18" s="247" t="s">
        <v>252</v>
      </c>
      <c r="P18" s="241" t="s">
        <v>123</v>
      </c>
    </row>
    <row r="19" spans="1:16" ht="21" customHeight="1">
      <c r="A19" s="248">
        <v>12</v>
      </c>
      <c r="B19" s="241" t="s">
        <v>125</v>
      </c>
      <c r="C19" s="258" t="s">
        <v>126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98</v>
      </c>
      <c r="M19" s="251">
        <f t="shared" si="0"/>
        <v>1.0552346931000001</v>
      </c>
      <c r="N19" s="252" t="s">
        <v>253</v>
      </c>
      <c r="O19" s="247" t="s">
        <v>252</v>
      </c>
      <c r="P19" s="241" t="s">
        <v>109</v>
      </c>
    </row>
    <row r="20" spans="1:16" ht="21" customHeight="1">
      <c r="A20" s="248">
        <v>13</v>
      </c>
      <c r="B20" s="241" t="s">
        <v>127</v>
      </c>
      <c r="C20" s="258" t="s">
        <v>128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95</v>
      </c>
      <c r="M20" s="251">
        <f t="shared" si="0"/>
        <v>1.0865859003</v>
      </c>
      <c r="N20" s="252" t="s">
        <v>253</v>
      </c>
      <c r="O20" s="247" t="s">
        <v>252</v>
      </c>
      <c r="P20" s="241" t="s">
        <v>111</v>
      </c>
    </row>
    <row r="21" spans="1:16" ht="24.75" customHeight="1">
      <c r="A21" s="248">
        <v>14</v>
      </c>
      <c r="B21" s="241" t="s">
        <v>129</v>
      </c>
      <c r="C21" s="258" t="s">
        <v>130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96</v>
      </c>
      <c r="M21" s="251">
        <f t="shared" si="0"/>
        <v>1.0522626697461936</v>
      </c>
      <c r="N21" s="252" t="s">
        <v>253</v>
      </c>
      <c r="O21" s="247" t="s">
        <v>252</v>
      </c>
      <c r="P21" s="241" t="s">
        <v>117</v>
      </c>
    </row>
    <row r="22" spans="1:16" ht="25.5">
      <c r="A22" s="248">
        <v>15</v>
      </c>
      <c r="B22" s="241" t="s">
        <v>131</v>
      </c>
      <c r="C22" s="259" t="s">
        <v>132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96</v>
      </c>
      <c r="M22" s="251">
        <f>MAX(D22:J22)</f>
        <v>1.03</v>
      </c>
      <c r="N22" s="252" t="s">
        <v>253</v>
      </c>
      <c r="O22" s="247" t="s">
        <v>252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1" priority="2" stopIfTrue="1" operator="equal">
      <formula>$M7</formula>
    </cfRule>
  </conditionalFormatting>
  <conditionalFormatting sqref="D9:J9">
    <cfRule type="cellIs" dxfId="1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jennerjahns</cp:lastModifiedBy>
  <cp:lastPrinted>2015-03-20T22:59:10Z</cp:lastPrinted>
  <dcterms:created xsi:type="dcterms:W3CDTF">2015-01-15T05:25:41Z</dcterms:created>
  <dcterms:modified xsi:type="dcterms:W3CDTF">2016-11-02T07:56:39Z</dcterms:modified>
</cp:coreProperties>
</file>